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12090" activeTab="2"/>
  </bookViews>
  <sheets>
    <sheet name="Лист1" sheetId="1" r:id="rId1"/>
    <sheet name="Вывод" sheetId="2" r:id="rId2"/>
    <sheet name="СвежиеДанные" sheetId="3" r:id="rId3"/>
  </sheets>
  <calcPr calcId="125725" refMode="R1C1"/>
</workbook>
</file>

<file path=xl/calcChain.xml><?xml version="1.0" encoding="utf-8"?>
<calcChain xmlns="http://schemas.openxmlformats.org/spreadsheetml/2006/main">
  <c r="AA18" i="3"/>
  <c r="AB18"/>
  <c r="Y18"/>
  <c r="Z18"/>
  <c r="B15" l="1"/>
  <c r="E15"/>
  <c r="D15"/>
  <c r="C15"/>
  <c r="C18" s="1"/>
  <c r="Y11"/>
  <c r="Z11"/>
  <c r="AA11"/>
  <c r="AB11"/>
  <c r="Y14"/>
  <c r="Z14"/>
  <c r="AA14"/>
  <c r="AA15" s="1"/>
  <c r="AA21" s="1"/>
  <c r="AA22" s="1"/>
  <c r="AB14"/>
  <c r="AB15" s="1"/>
  <c r="AB21" s="1"/>
  <c r="AB22" s="1"/>
  <c r="Y15"/>
  <c r="Z15"/>
  <c r="Z21" s="1"/>
  <c r="Z22" s="1"/>
  <c r="Y17"/>
  <c r="Z17"/>
  <c r="AA17"/>
  <c r="Y21"/>
  <c r="Y22" s="1"/>
  <c r="AB17" l="1"/>
  <c r="W11"/>
  <c r="X11"/>
  <c r="W14"/>
  <c r="X14"/>
  <c r="X15" s="1"/>
  <c r="X18" s="1"/>
  <c r="W15"/>
  <c r="W18" s="1"/>
  <c r="W17"/>
  <c r="X17"/>
  <c r="X21" l="1"/>
  <c r="X22" s="1"/>
  <c r="W21"/>
  <c r="W22" s="1"/>
  <c r="F14"/>
  <c r="F17" s="1"/>
  <c r="V14"/>
  <c r="V17" s="1"/>
  <c r="V11"/>
  <c r="F15" l="1"/>
  <c r="F18" s="1"/>
  <c r="V15"/>
  <c r="U14"/>
  <c r="U17" s="1"/>
  <c r="U11"/>
  <c r="AE14"/>
  <c r="AE17" s="1"/>
  <c r="AE11"/>
  <c r="AD14"/>
  <c r="AD17" s="1"/>
  <c r="AD11"/>
  <c r="AC14"/>
  <c r="AC17" s="1"/>
  <c r="AC11"/>
  <c r="O14"/>
  <c r="O15" s="1"/>
  <c r="O18" s="1"/>
  <c r="O21" s="1"/>
  <c r="O22" s="1"/>
  <c r="P14"/>
  <c r="P15" s="1"/>
  <c r="P18" s="1"/>
  <c r="P21" s="1"/>
  <c r="P22" s="1"/>
  <c r="O11"/>
  <c r="P11"/>
  <c r="B18"/>
  <c r="L14"/>
  <c r="L17" s="1"/>
  <c r="L11"/>
  <c r="M14"/>
  <c r="M15" s="1"/>
  <c r="N14"/>
  <c r="N15" s="1"/>
  <c r="N17"/>
  <c r="M11"/>
  <c r="N11"/>
  <c r="J14"/>
  <c r="J15" s="1"/>
  <c r="J18" s="1"/>
  <c r="J21" s="1"/>
  <c r="J22" s="1"/>
  <c r="K14"/>
  <c r="K15" s="1"/>
  <c r="K18" s="1"/>
  <c r="K21" s="1"/>
  <c r="K22" s="1"/>
  <c r="J11"/>
  <c r="K11"/>
  <c r="F11"/>
  <c r="G11"/>
  <c r="H11"/>
  <c r="G14"/>
  <c r="G15" s="1"/>
  <c r="G18" s="1"/>
  <c r="G21" s="1"/>
  <c r="G22" s="1"/>
  <c r="H14"/>
  <c r="H17" s="1"/>
  <c r="G17"/>
  <c r="S14"/>
  <c r="S15" s="1"/>
  <c r="T14"/>
  <c r="T15" s="1"/>
  <c r="AF14"/>
  <c r="AF15" s="1"/>
  <c r="AF18" s="1"/>
  <c r="AF21" s="1"/>
  <c r="AF22" s="1"/>
  <c r="AG14"/>
  <c r="AG15" s="1"/>
  <c r="AG18" s="1"/>
  <c r="AG21" s="1"/>
  <c r="AG22" s="1"/>
  <c r="AH14"/>
  <c r="AH15" s="1"/>
  <c r="AH18" s="1"/>
  <c r="AI14"/>
  <c r="AI15" s="1"/>
  <c r="AI18" s="1"/>
  <c r="AI21" s="1"/>
  <c r="AI22" s="1"/>
  <c r="AJ14"/>
  <c r="AK14"/>
  <c r="AL14"/>
  <c r="AL15" s="1"/>
  <c r="AL18" s="1"/>
  <c r="AL21" s="1"/>
  <c r="AL22" s="1"/>
  <c r="AM14"/>
  <c r="AM15" s="1"/>
  <c r="AM18" s="1"/>
  <c r="AM21" s="1"/>
  <c r="AM22" s="1"/>
  <c r="AJ15"/>
  <c r="AJ18" s="1"/>
  <c r="AJ21" s="1"/>
  <c r="AJ22" s="1"/>
  <c r="AK15"/>
  <c r="AK18" s="1"/>
  <c r="AK21" s="1"/>
  <c r="AK22" s="1"/>
  <c r="T17"/>
  <c r="AF17"/>
  <c r="AG17"/>
  <c r="AI17"/>
  <c r="AJ17"/>
  <c r="AK17"/>
  <c r="AL17"/>
  <c r="S11"/>
  <c r="T11"/>
  <c r="AF11"/>
  <c r="AG11"/>
  <c r="AH11"/>
  <c r="AI11"/>
  <c r="AJ11"/>
  <c r="AK11"/>
  <c r="AL11"/>
  <c r="AM11"/>
  <c r="R11"/>
  <c r="I11"/>
  <c r="Q11"/>
  <c r="R14"/>
  <c r="R17" s="1"/>
  <c r="Q14"/>
  <c r="Q17" s="1"/>
  <c r="I14"/>
  <c r="I17" s="1"/>
  <c r="N5" i="2"/>
  <c r="B39" i="1"/>
  <c r="B40" s="1"/>
  <c r="B41" s="1"/>
  <c r="B44" s="1"/>
  <c r="B45" s="1"/>
  <c r="E10"/>
  <c r="E11" s="1"/>
  <c r="E12" s="1"/>
  <c r="E13" s="1"/>
  <c r="E4"/>
  <c r="E3"/>
  <c r="C11"/>
  <c r="C4"/>
  <c r="C3"/>
  <c r="D25"/>
  <c r="D27"/>
  <c r="D32"/>
  <c r="C32"/>
  <c r="D31"/>
  <c r="C31"/>
  <c r="D30"/>
  <c r="C30"/>
  <c r="D29"/>
  <c r="C29"/>
  <c r="C28"/>
  <c r="D28" s="1"/>
  <c r="D18"/>
  <c r="C18"/>
  <c r="D26"/>
  <c r="C27"/>
  <c r="C26"/>
  <c r="C25"/>
  <c r="D24"/>
  <c r="C24"/>
  <c r="V18" i="3" l="1"/>
  <c r="V21" s="1"/>
  <c r="V22" s="1"/>
  <c r="T18"/>
  <c r="T21" s="1"/>
  <c r="T22" s="1"/>
  <c r="M18"/>
  <c r="M21" s="1"/>
  <c r="M22" s="1"/>
  <c r="S18"/>
  <c r="S21" s="1"/>
  <c r="S22" s="1"/>
  <c r="N18"/>
  <c r="N21" s="1"/>
  <c r="N22" s="1"/>
  <c r="AM17"/>
  <c r="F21"/>
  <c r="F22" s="1"/>
  <c r="U15"/>
  <c r="AH21"/>
  <c r="AH22" s="1"/>
  <c r="P17"/>
  <c r="AD15"/>
  <c r="AD18" s="1"/>
  <c r="AD21" s="1"/>
  <c r="AD22" s="1"/>
  <c r="AE15"/>
  <c r="AE18" s="1"/>
  <c r="AE21" s="1"/>
  <c r="AE22" s="1"/>
  <c r="AC15"/>
  <c r="AC18" s="1"/>
  <c r="AC21" s="1"/>
  <c r="AC22" s="1"/>
  <c r="O17"/>
  <c r="AH17"/>
  <c r="L15"/>
  <c r="M17"/>
  <c r="J17"/>
  <c r="I15"/>
  <c r="I18" s="1"/>
  <c r="I21" s="1"/>
  <c r="I22" s="1"/>
  <c r="S17"/>
  <c r="K17"/>
  <c r="H15"/>
  <c r="H18" s="1"/>
  <c r="H21" s="1"/>
  <c r="H22" s="1"/>
  <c r="R15"/>
  <c r="Q15"/>
  <c r="B42" i="1"/>
  <c r="B43" s="1"/>
  <c r="C21"/>
  <c r="D21" s="1"/>
  <c r="C20"/>
  <c r="D20" s="1"/>
  <c r="C19"/>
  <c r="A21"/>
  <c r="A22" s="1"/>
  <c r="A23" s="1"/>
  <c r="A24" s="1"/>
  <c r="A25" s="1"/>
  <c r="C12"/>
  <c r="C13" s="1"/>
  <c r="D10"/>
  <c r="C10"/>
  <c r="B10"/>
  <c r="B11" s="1"/>
  <c r="B12" s="1"/>
  <c r="B13" s="1"/>
  <c r="L18" i="3" l="1"/>
  <c r="L21" s="1"/>
  <c r="L22" s="1"/>
  <c r="U18"/>
  <c r="U21" s="1"/>
  <c r="U22" s="1"/>
  <c r="R18"/>
  <c r="R21" s="1"/>
  <c r="R22" s="1"/>
  <c r="Q18"/>
  <c r="Q21" s="1"/>
  <c r="Q22" s="1"/>
  <c r="D11" i="1"/>
  <c r="D12" s="1"/>
  <c r="D13" s="1"/>
</calcChain>
</file>

<file path=xl/sharedStrings.xml><?xml version="1.0" encoding="utf-8"?>
<sst xmlns="http://schemas.openxmlformats.org/spreadsheetml/2006/main" count="241" uniqueCount="151">
  <si>
    <t>Дневной</t>
  </si>
  <si>
    <t>Недель</t>
  </si>
  <si>
    <t>Месяц</t>
  </si>
  <si>
    <t>Хэшрейт</t>
  </si>
  <si>
    <t>По проге</t>
  </si>
  <si>
    <t>Lyra2REv2/GF560</t>
  </si>
  <si>
    <t>202,1W</t>
  </si>
  <si>
    <t>Расход э/энергии max</t>
  </si>
  <si>
    <t>2,387 Квт</t>
  </si>
  <si>
    <t>13,5ч</t>
  </si>
  <si>
    <t>3,1р/Квт</t>
  </si>
  <si>
    <t>Lyra2REv2/GF750Ti</t>
  </si>
  <si>
    <t>12,44ч-1,645Квт</t>
  </si>
  <si>
    <t>24ч/Квт</t>
  </si>
  <si>
    <t>Lyra2REv2/GF980</t>
  </si>
  <si>
    <t>10,13ч-2,126</t>
  </si>
  <si>
    <t>Доход в день</t>
  </si>
  <si>
    <t>Доход в неделю</t>
  </si>
  <si>
    <t>Доход в месяц</t>
  </si>
  <si>
    <t>980ти</t>
  </si>
  <si>
    <t>7950реал</t>
  </si>
  <si>
    <t>разн/GF980</t>
  </si>
  <si>
    <t>2д 14ч 36м - 14,38</t>
  </si>
  <si>
    <t>На другой кошель</t>
  </si>
  <si>
    <t>мин</t>
  </si>
  <si>
    <t>комиссия</t>
  </si>
  <si>
    <t>0,5% мин 0,0005</t>
  </si>
  <si>
    <t>Коинбазе</t>
  </si>
  <si>
    <t>На Найсхэш</t>
  </si>
  <si>
    <t>Вебмани</t>
  </si>
  <si>
    <t>На карту</t>
  </si>
  <si>
    <t>На Яхоо</t>
  </si>
  <si>
    <t>-</t>
  </si>
  <si>
    <t>Комиссия</t>
  </si>
  <si>
    <t>С кошелька найс</t>
  </si>
  <si>
    <t>Доход за месяц</t>
  </si>
  <si>
    <t>дни</t>
  </si>
  <si>
    <t>часы</t>
  </si>
  <si>
    <t>минуты</t>
  </si>
  <si>
    <t>кват</t>
  </si>
  <si>
    <t>сутки</t>
  </si>
  <si>
    <t>квт/сутки</t>
  </si>
  <si>
    <t>Lyra2REv2/GF650</t>
  </si>
  <si>
    <t>Lyra2REv2/GF550Ti</t>
  </si>
  <si>
    <t>покупали</t>
  </si>
  <si>
    <t>Продавали</t>
  </si>
  <si>
    <t>квт/мес</t>
  </si>
  <si>
    <t>Руб. э/эн / мес</t>
  </si>
  <si>
    <t>Доход/сутки</t>
  </si>
  <si>
    <t>Доход/мес</t>
  </si>
  <si>
    <t>Я продал</t>
  </si>
  <si>
    <t>за</t>
  </si>
  <si>
    <t>Видео</t>
  </si>
  <si>
    <t>В где</t>
  </si>
  <si>
    <t>560 Ti</t>
  </si>
  <si>
    <t>Алгоритм</t>
  </si>
  <si>
    <t>КВт/24ч</t>
  </si>
  <si>
    <t>Keccak</t>
  </si>
  <si>
    <t>maxW</t>
  </si>
  <si>
    <t>Стоимость BTC</t>
  </si>
  <si>
    <t>Доход/24ч</t>
  </si>
  <si>
    <t>Чистыми/24ч</t>
  </si>
  <si>
    <t>Стоимость кВт</t>
  </si>
  <si>
    <t>Чист/мес</t>
  </si>
  <si>
    <t>райзер</t>
  </si>
  <si>
    <t>mBTC/24ч</t>
  </si>
  <si>
    <t>точность</t>
  </si>
  <si>
    <t>Equal</t>
  </si>
  <si>
    <t>время</t>
  </si>
  <si>
    <t>израсходовано</t>
  </si>
  <si>
    <t>3ч18м</t>
  </si>
  <si>
    <t>2ч59м</t>
  </si>
  <si>
    <t>В MSI After</t>
  </si>
  <si>
    <t>минимум</t>
  </si>
  <si>
    <t>Стоимость карты</t>
  </si>
  <si>
    <t>Окуп/мес</t>
  </si>
  <si>
    <t>Окуп/лет</t>
  </si>
  <si>
    <t>100-105</t>
  </si>
  <si>
    <t>2ч50м</t>
  </si>
  <si>
    <t>Выгодность в %</t>
  </si>
  <si>
    <t>7950 msi</t>
  </si>
  <si>
    <t>224-231</t>
  </si>
  <si>
    <t>2ч45м</t>
  </si>
  <si>
    <t>118-120</t>
  </si>
  <si>
    <t>2ч53м</t>
  </si>
  <si>
    <t>стенд1</t>
  </si>
  <si>
    <t>стенд2</t>
  </si>
  <si>
    <t>1060+980Strix+7950Cube</t>
  </si>
  <si>
    <t>Стенд2</t>
  </si>
  <si>
    <t>Athlon 64*2 4600+</t>
  </si>
  <si>
    <t>WiFi - мелкий</t>
  </si>
  <si>
    <t>PowerMan 330W</t>
  </si>
  <si>
    <t>GTS 250</t>
  </si>
  <si>
    <t>Прога Kriptex</t>
  </si>
  <si>
    <t>2ч4м</t>
  </si>
  <si>
    <t>550Ti</t>
  </si>
  <si>
    <t>1ч46м</t>
  </si>
  <si>
    <t>650 Kinology</t>
  </si>
  <si>
    <t>1ч6м</t>
  </si>
  <si>
    <t>1ч40м</t>
  </si>
  <si>
    <t>CryptoNightV7</t>
  </si>
  <si>
    <t>1ч15м</t>
  </si>
  <si>
    <t>1ч18м</t>
  </si>
  <si>
    <t>1ч</t>
  </si>
  <si>
    <t>2ч6м</t>
  </si>
  <si>
    <t>17ч37м</t>
  </si>
  <si>
    <t>13ч</t>
  </si>
  <si>
    <t>1060+980Strix+7950Cube+7870asus</t>
  </si>
  <si>
    <t>почти максимум</t>
  </si>
  <si>
    <t>1ч52м</t>
  </si>
  <si>
    <t>103,9-104,5</t>
  </si>
  <si>
    <t>1ч3м</t>
  </si>
  <si>
    <t>Стенд1</t>
  </si>
  <si>
    <t>3ч12м</t>
  </si>
  <si>
    <t>1060+980Gamer</t>
  </si>
  <si>
    <t>36ч2м</t>
  </si>
  <si>
    <t>1060+7950Cybe+7950Msi</t>
  </si>
  <si>
    <t>12ч28м</t>
  </si>
  <si>
    <t>Стенд4</t>
  </si>
  <si>
    <t>GIGABYTE GA-890FXA-UD5 AM3</t>
  </si>
  <si>
    <t>Asus M2A-VM</t>
  </si>
  <si>
    <t>почти максимум 220+374</t>
  </si>
  <si>
    <t>Стенд3</t>
  </si>
  <si>
    <t>WD 500Гб 5*0,55А</t>
  </si>
  <si>
    <t>2*1Gb DDR2</t>
  </si>
  <si>
    <t>4ч46м</t>
  </si>
  <si>
    <t>7950 cube</t>
  </si>
  <si>
    <t>Saegate 120Гб 5v*0,72A+12v*0,35A</t>
  </si>
  <si>
    <t>Asus M4A77T</t>
  </si>
  <si>
    <t>4GB DDR3</t>
  </si>
  <si>
    <t>Athlon 245e</t>
  </si>
  <si>
    <t>235,7-237,6</t>
  </si>
  <si>
    <t>2ч13м</t>
  </si>
  <si>
    <t>1ч4м</t>
  </si>
  <si>
    <t>1ч5м</t>
  </si>
  <si>
    <t>1060, 6 Гб</t>
  </si>
  <si>
    <t>Athlon 210e</t>
  </si>
  <si>
    <t>700W</t>
  </si>
  <si>
    <t>lyra 28,95</t>
  </si>
  <si>
    <t>980galaxy</t>
  </si>
  <si>
    <t>980strix</t>
  </si>
  <si>
    <t>3ч22м</t>
  </si>
  <si>
    <t>3ч2м</t>
  </si>
  <si>
    <t>GIGABYTE GA-770T-D3L</t>
  </si>
  <si>
    <t>4GB DDR3 (ECC)</t>
  </si>
  <si>
    <t>4GB DDR4 (ECC)</t>
  </si>
  <si>
    <t>2ч49м</t>
  </si>
  <si>
    <t>Saegate 80Гб 5v*0,72A+12v*0,52A</t>
  </si>
  <si>
    <t>324-325,8</t>
  </si>
  <si>
    <t>2ч38м</t>
  </si>
  <si>
    <t>3ч36м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</si>
</sst>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"/>
    <numFmt numFmtId="166" formatCode="#,##0.0&quot;р.&quot;"/>
  </numFmts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9" fontId="0" fillId="0" borderId="0" xfId="0" applyNumberFormat="1"/>
    <xf numFmtId="10" fontId="0" fillId="0" borderId="0" xfId="0" applyNumberFormat="1"/>
    <xf numFmtId="16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166" fontId="0" fillId="0" borderId="0" xfId="0" applyNumberFormat="1"/>
    <xf numFmtId="0" fontId="0" fillId="2" borderId="0" xfId="0" applyFill="1"/>
    <xf numFmtId="2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165" fontId="0" fillId="2" borderId="0" xfId="0" applyNumberForma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2" fontId="0" fillId="2" borderId="2" xfId="0" applyNumberFormat="1" applyFill="1" applyBorder="1"/>
    <xf numFmtId="166" fontId="0" fillId="0" borderId="2" xfId="0" applyNumberFormat="1" applyBorder="1"/>
    <xf numFmtId="166" fontId="0" fillId="2" borderId="2" xfId="0" applyNumberFormat="1" applyFill="1" applyBorder="1"/>
    <xf numFmtId="165" fontId="0" fillId="2" borderId="2" xfId="0" applyNumberFormat="1" applyFill="1" applyBorder="1"/>
    <xf numFmtId="165" fontId="0" fillId="0" borderId="2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2" fontId="0" fillId="2" borderId="6" xfId="0" applyNumberFormat="1" applyFill="1" applyBorder="1"/>
    <xf numFmtId="2" fontId="0" fillId="2" borderId="7" xfId="0" applyNumberFormat="1" applyFill="1" applyBorder="1"/>
    <xf numFmtId="166" fontId="0" fillId="0" borderId="6" xfId="0" applyNumberFormat="1" applyBorder="1"/>
    <xf numFmtId="166" fontId="0" fillId="0" borderId="7" xfId="0" applyNumberFormat="1" applyBorder="1"/>
    <xf numFmtId="166" fontId="0" fillId="2" borderId="6" xfId="0" applyNumberFormat="1" applyFill="1" applyBorder="1"/>
    <xf numFmtId="166" fontId="0" fillId="2" borderId="7" xfId="0" applyNumberFormat="1" applyFill="1" applyBorder="1"/>
    <xf numFmtId="165" fontId="0" fillId="2" borderId="6" xfId="0" applyNumberFormat="1" applyFill="1" applyBorder="1"/>
    <xf numFmtId="165" fontId="0" fillId="2" borderId="7" xfId="0" applyNumberFormat="1" applyFill="1" applyBorder="1"/>
    <xf numFmtId="165" fontId="0" fillId="0" borderId="6" xfId="0" applyNumberFormat="1" applyBorder="1"/>
    <xf numFmtId="165" fontId="0" fillId="0" borderId="7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2" fontId="0" fillId="2" borderId="0" xfId="0" applyNumberFormat="1" applyFill="1" applyBorder="1"/>
    <xf numFmtId="166" fontId="0" fillId="0" borderId="0" xfId="0" applyNumberFormat="1" applyBorder="1"/>
    <xf numFmtId="166" fontId="0" fillId="2" borderId="0" xfId="0" applyNumberFormat="1" applyFill="1" applyBorder="1"/>
    <xf numFmtId="165" fontId="0" fillId="2" borderId="0" xfId="0" applyNumberFormat="1" applyFill="1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opLeftCell="A19" workbookViewId="0">
      <selection activeCell="B38" sqref="B38"/>
    </sheetView>
  </sheetViews>
  <sheetFormatPr defaultRowHeight="15"/>
  <cols>
    <col min="1" max="1" width="22" customWidth="1"/>
    <col min="2" max="2" width="16.7109375" customWidth="1"/>
    <col min="3" max="3" width="17.7109375" customWidth="1"/>
    <col min="4" max="4" width="16.5703125" customWidth="1"/>
    <col min="5" max="5" width="12.7109375" customWidth="1"/>
    <col min="6" max="6" width="16" customWidth="1"/>
    <col min="7" max="7" width="17.85546875" customWidth="1"/>
  </cols>
  <sheetData>
    <row r="1" spans="1:7">
      <c r="B1" t="s">
        <v>5</v>
      </c>
      <c r="C1" t="s">
        <v>11</v>
      </c>
      <c r="D1" t="s">
        <v>14</v>
      </c>
      <c r="E1" t="s">
        <v>21</v>
      </c>
      <c r="F1" t="s">
        <v>42</v>
      </c>
      <c r="G1" t="s">
        <v>43</v>
      </c>
    </row>
    <row r="2" spans="1:7">
      <c r="A2" t="s">
        <v>0</v>
      </c>
      <c r="B2">
        <v>6</v>
      </c>
      <c r="C2">
        <v>4.5</v>
      </c>
      <c r="D2">
        <v>53.76</v>
      </c>
      <c r="E2">
        <v>120</v>
      </c>
    </row>
    <row r="3" spans="1:7">
      <c r="A3" t="s">
        <v>1</v>
      </c>
      <c r="B3">
        <v>42</v>
      </c>
      <c r="C3">
        <f>C2*7</f>
        <v>31.5</v>
      </c>
      <c r="D3">
        <v>376.34</v>
      </c>
      <c r="E3">
        <f>E2*7</f>
        <v>840</v>
      </c>
    </row>
    <row r="4" spans="1:7">
      <c r="A4" t="s">
        <v>2</v>
      </c>
      <c r="B4">
        <v>178</v>
      </c>
      <c r="C4">
        <f>C3*4</f>
        <v>126</v>
      </c>
      <c r="D4">
        <v>1612.9</v>
      </c>
      <c r="E4">
        <f>E3*4</f>
        <v>3360</v>
      </c>
    </row>
    <row r="5" spans="1:7">
      <c r="A5" t="s">
        <v>3</v>
      </c>
      <c r="B5">
        <v>0.89</v>
      </c>
      <c r="D5">
        <v>2.68</v>
      </c>
      <c r="F5">
        <v>0.63400000000000001</v>
      </c>
      <c r="G5">
        <v>1.0660000000000001</v>
      </c>
    </row>
    <row r="6" spans="1:7">
      <c r="A6" t="s">
        <v>4</v>
      </c>
      <c r="B6">
        <v>1.44</v>
      </c>
      <c r="C6">
        <v>1.06</v>
      </c>
      <c r="D6">
        <v>22.61</v>
      </c>
      <c r="E6">
        <v>22.61</v>
      </c>
    </row>
    <row r="7" spans="1:7">
      <c r="A7" t="s">
        <v>7</v>
      </c>
      <c r="B7" t="s">
        <v>6</v>
      </c>
      <c r="C7">
        <v>198.6</v>
      </c>
      <c r="D7">
        <v>249.7</v>
      </c>
      <c r="E7">
        <v>288.10000000000002</v>
      </c>
    </row>
    <row r="8" spans="1:7">
      <c r="A8" t="s">
        <v>9</v>
      </c>
      <c r="B8" t="s">
        <v>8</v>
      </c>
      <c r="C8" t="s">
        <v>12</v>
      </c>
      <c r="D8" t="s">
        <v>15</v>
      </c>
      <c r="E8" t="s">
        <v>22</v>
      </c>
    </row>
    <row r="9" spans="1:7">
      <c r="A9" t="s">
        <v>13</v>
      </c>
      <c r="B9">
        <v>4.25</v>
      </c>
      <c r="C9">
        <v>3.173</v>
      </c>
      <c r="D9">
        <v>5.04</v>
      </c>
      <c r="E9">
        <v>5.54</v>
      </c>
    </row>
    <row r="10" spans="1:7">
      <c r="A10" t="s">
        <v>10</v>
      </c>
      <c r="B10">
        <f>B9*3.1</f>
        <v>13.175000000000001</v>
      </c>
      <c r="C10">
        <f>C9*3.1</f>
        <v>9.8362999999999996</v>
      </c>
      <c r="D10">
        <f>D9*3.1</f>
        <v>15.624000000000001</v>
      </c>
      <c r="E10">
        <f>E9*3.1</f>
        <v>17.173999999999999</v>
      </c>
    </row>
    <row r="11" spans="1:7">
      <c r="A11" t="s">
        <v>16</v>
      </c>
      <c r="B11">
        <f>B2-B10</f>
        <v>-7.1750000000000007</v>
      </c>
      <c r="C11">
        <f>C2-C10</f>
        <v>-5.3362999999999996</v>
      </c>
      <c r="D11">
        <f>D2-D10</f>
        <v>38.135999999999996</v>
      </c>
      <c r="E11">
        <f>E2-E10</f>
        <v>102.82599999999999</v>
      </c>
    </row>
    <row r="12" spans="1:7">
      <c r="A12" t="s">
        <v>17</v>
      </c>
      <c r="B12">
        <f>B11*7</f>
        <v>-50.225000000000009</v>
      </c>
      <c r="C12">
        <f t="shared" ref="C12:D12" si="0">C11*7</f>
        <v>-37.354099999999995</v>
      </c>
      <c r="D12">
        <f t="shared" si="0"/>
        <v>266.952</v>
      </c>
      <c r="E12">
        <f t="shared" ref="E12" si="1">E11*7</f>
        <v>719.78199999999993</v>
      </c>
    </row>
    <row r="13" spans="1:7">
      <c r="A13" t="s">
        <v>18</v>
      </c>
      <c r="B13">
        <f>B12*4</f>
        <v>-200.90000000000003</v>
      </c>
      <c r="C13">
        <f t="shared" ref="C13:D13" si="2">C12*4</f>
        <v>-149.41639999999998</v>
      </c>
      <c r="D13">
        <f t="shared" si="2"/>
        <v>1067.808</v>
      </c>
      <c r="E13">
        <f t="shared" ref="E13" si="3">E12*4</f>
        <v>2879.1279999999997</v>
      </c>
    </row>
    <row r="18" spans="1:5">
      <c r="B18">
        <v>57000</v>
      </c>
      <c r="C18">
        <f>B19/B18</f>
        <v>0.60526315789473684</v>
      </c>
      <c r="D18">
        <f>C18*247</f>
        <v>149.5</v>
      </c>
      <c r="E18">
        <v>1070</v>
      </c>
    </row>
    <row r="19" spans="1:5">
      <c r="A19">
        <v>1067</v>
      </c>
      <c r="B19">
        <v>34500</v>
      </c>
      <c r="C19">
        <f>1</f>
        <v>1</v>
      </c>
      <c r="D19">
        <v>226</v>
      </c>
      <c r="E19" t="s">
        <v>19</v>
      </c>
    </row>
    <row r="20" spans="1:5">
      <c r="A20">
        <v>3</v>
      </c>
      <c r="B20">
        <v>27000</v>
      </c>
      <c r="C20">
        <f>B19/B20</f>
        <v>1.2777777777777777</v>
      </c>
      <c r="D20">
        <f>C20*171</f>
        <v>218.49999999999997</v>
      </c>
      <c r="E20">
        <v>1060</v>
      </c>
    </row>
    <row r="21" spans="1:5">
      <c r="A21">
        <f>A19/A20</f>
        <v>355.66666666666669</v>
      </c>
      <c r="B21">
        <v>26000</v>
      </c>
      <c r="C21">
        <f>B19/B21</f>
        <v>1.3269230769230769</v>
      </c>
      <c r="D21">
        <f>C21*163</f>
        <v>216.28846153846152</v>
      </c>
      <c r="E21">
        <v>980</v>
      </c>
    </row>
    <row r="22" spans="1:5">
      <c r="A22">
        <f>A19+A21</f>
        <v>1422.6666666666667</v>
      </c>
      <c r="E22">
        <v>480</v>
      </c>
    </row>
    <row r="23" spans="1:5">
      <c r="A23">
        <f>A22/A20</f>
        <v>474.22222222222223</v>
      </c>
      <c r="E23">
        <v>470</v>
      </c>
    </row>
    <row r="24" spans="1:5">
      <c r="A24">
        <f>A23+A19</f>
        <v>1541.2222222222222</v>
      </c>
      <c r="B24">
        <v>9000</v>
      </c>
      <c r="C24">
        <f>B19/B24</f>
        <v>3.8333333333333335</v>
      </c>
      <c r="D24">
        <f>C24*107</f>
        <v>410.16666666666669</v>
      </c>
      <c r="E24">
        <v>7950</v>
      </c>
    </row>
    <row r="25" spans="1:5">
      <c r="A25">
        <f>A24/A20</f>
        <v>513.74074074074076</v>
      </c>
      <c r="B25">
        <v>9000</v>
      </c>
      <c r="C25">
        <f>B19/B25</f>
        <v>3.8333333333333335</v>
      </c>
      <c r="D25">
        <f>C25*94</f>
        <v>360.33333333333337</v>
      </c>
      <c r="E25" t="s">
        <v>20</v>
      </c>
    </row>
    <row r="26" spans="1:5">
      <c r="B26">
        <v>6750</v>
      </c>
      <c r="C26">
        <f>B19/B26</f>
        <v>5.1111111111111107</v>
      </c>
      <c r="D26">
        <f>C26*107</f>
        <v>546.8888888888888</v>
      </c>
      <c r="E26">
        <v>7950</v>
      </c>
    </row>
    <row r="27" spans="1:5">
      <c r="B27">
        <v>6750</v>
      </c>
      <c r="C27">
        <f>B19/B27</f>
        <v>5.1111111111111107</v>
      </c>
      <c r="D27">
        <f>C27*94</f>
        <v>480.4444444444444</v>
      </c>
      <c r="E27" t="s">
        <v>20</v>
      </c>
    </row>
    <row r="28" spans="1:5">
      <c r="B28">
        <v>7000</v>
      </c>
      <c r="C28">
        <f>B19/B28</f>
        <v>4.9285714285714288</v>
      </c>
      <c r="D28">
        <f>C28*73.15</f>
        <v>360.52500000000003</v>
      </c>
      <c r="E28">
        <v>7870</v>
      </c>
    </row>
    <row r="29" spans="1:5">
      <c r="B29">
        <v>10500</v>
      </c>
      <c r="C29">
        <f>B19/B29</f>
        <v>3.2857142857142856</v>
      </c>
      <c r="D29">
        <f>C29*175</f>
        <v>575</v>
      </c>
      <c r="E29">
        <v>290</v>
      </c>
    </row>
    <row r="30" spans="1:5">
      <c r="B30">
        <v>10500</v>
      </c>
      <c r="C30">
        <f>B19/B30</f>
        <v>3.2857142857142856</v>
      </c>
      <c r="D30">
        <f>C30*100</f>
        <v>328.57142857142856</v>
      </c>
      <c r="E30">
        <v>380</v>
      </c>
    </row>
    <row r="31" spans="1:5">
      <c r="B31">
        <v>24000</v>
      </c>
      <c r="C31">
        <f>B19/B31</f>
        <v>1.4375</v>
      </c>
      <c r="D31">
        <f>C31*202</f>
        <v>290.375</v>
      </c>
      <c r="E31">
        <v>390</v>
      </c>
    </row>
    <row r="32" spans="1:5">
      <c r="B32">
        <v>7500</v>
      </c>
      <c r="C32">
        <f>B19/B32</f>
        <v>4.5999999999999996</v>
      </c>
      <c r="D32">
        <f>C32*65</f>
        <v>299</v>
      </c>
      <c r="E32">
        <v>550</v>
      </c>
    </row>
    <row r="34" spans="1:2">
      <c r="A34" t="s">
        <v>36</v>
      </c>
      <c r="B34">
        <v>0</v>
      </c>
    </row>
    <row r="35" spans="1:2">
      <c r="A35" t="s">
        <v>37</v>
      </c>
      <c r="B35">
        <v>3</v>
      </c>
    </row>
    <row r="36" spans="1:2">
      <c r="A36" t="s">
        <v>38</v>
      </c>
      <c r="B36">
        <v>36</v>
      </c>
    </row>
    <row r="37" spans="1:2">
      <c r="A37" t="s">
        <v>39</v>
      </c>
      <c r="B37">
        <v>0.54300000000000004</v>
      </c>
    </row>
    <row r="38" spans="1:2">
      <c r="A38" t="s">
        <v>40</v>
      </c>
      <c r="B38">
        <v>24</v>
      </c>
    </row>
    <row r="39" spans="1:2">
      <c r="A39" t="s">
        <v>37</v>
      </c>
      <c r="B39">
        <f>B34*B38+B35+B36/60</f>
        <v>3.6</v>
      </c>
    </row>
    <row r="40" spans="1:2">
      <c r="A40" t="s">
        <v>40</v>
      </c>
      <c r="B40">
        <f>B39/B38</f>
        <v>0.15</v>
      </c>
    </row>
    <row r="41" spans="1:2">
      <c r="A41" t="s">
        <v>41</v>
      </c>
      <c r="B41" s="6">
        <f>B37/B40</f>
        <v>3.6200000000000006</v>
      </c>
    </row>
    <row r="42" spans="1:2">
      <c r="A42" t="s">
        <v>46</v>
      </c>
      <c r="B42">
        <f>B41*30</f>
        <v>108.60000000000002</v>
      </c>
    </row>
    <row r="43" spans="1:2">
      <c r="A43" t="s">
        <v>47</v>
      </c>
      <c r="B43">
        <f>B42*3.1</f>
        <v>336.66000000000008</v>
      </c>
    </row>
    <row r="44" spans="1:2">
      <c r="A44" t="s">
        <v>48</v>
      </c>
      <c r="B44">
        <f>0.15*550-B41</f>
        <v>78.88</v>
      </c>
    </row>
    <row r="45" spans="1:2">
      <c r="A45" t="s">
        <v>49</v>
      </c>
      <c r="B45">
        <f>B44*30</f>
        <v>2366.3999999999996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selection activeCell="O5" sqref="O5"/>
    </sheetView>
  </sheetViews>
  <sheetFormatPr defaultRowHeight="15"/>
  <cols>
    <col min="1" max="1" width="11.42578125" customWidth="1"/>
    <col min="2" max="2" width="16.42578125" customWidth="1"/>
    <col min="6" max="6" width="18.140625" customWidth="1"/>
    <col min="7" max="7" width="16.42578125" customWidth="1"/>
    <col min="11" max="11" width="11.140625" customWidth="1"/>
    <col min="12" max="12" width="13.42578125" customWidth="1"/>
  </cols>
  <sheetData>
    <row r="1" spans="1:15">
      <c r="F1" t="s">
        <v>34</v>
      </c>
      <c r="J1" s="3"/>
      <c r="K1" t="s">
        <v>44</v>
      </c>
      <c r="L1" t="s">
        <v>45</v>
      </c>
      <c r="M1" t="s">
        <v>50</v>
      </c>
      <c r="N1" t="s">
        <v>51</v>
      </c>
      <c r="O1" t="s">
        <v>25</v>
      </c>
    </row>
    <row r="2" spans="1:15">
      <c r="A2" t="s">
        <v>23</v>
      </c>
      <c r="F2" t="s">
        <v>23</v>
      </c>
      <c r="J2" s="3">
        <v>43218</v>
      </c>
      <c r="K2">
        <v>555.49</v>
      </c>
      <c r="L2">
        <v>557.79</v>
      </c>
    </row>
    <row r="3" spans="1:15">
      <c r="A3" t="s">
        <v>24</v>
      </c>
      <c r="B3">
        <v>0.1</v>
      </c>
      <c r="F3" t="s">
        <v>24</v>
      </c>
      <c r="G3">
        <v>5.4999999999999997E-3</v>
      </c>
      <c r="J3" s="3">
        <v>43223</v>
      </c>
      <c r="K3">
        <v>563.95000000000005</v>
      </c>
      <c r="L3">
        <v>567.49</v>
      </c>
      <c r="M3">
        <v>8.6</v>
      </c>
      <c r="N3">
        <v>4850</v>
      </c>
    </row>
    <row r="4" spans="1:15">
      <c r="A4" t="s">
        <v>25</v>
      </c>
      <c r="B4" s="1">
        <v>0.03</v>
      </c>
      <c r="F4" t="s">
        <v>25</v>
      </c>
      <c r="G4" t="s">
        <v>26</v>
      </c>
      <c r="J4" s="3">
        <v>43224</v>
      </c>
      <c r="M4">
        <v>1.62</v>
      </c>
      <c r="N4">
        <v>952</v>
      </c>
    </row>
    <row r="5" spans="1:15">
      <c r="A5" t="s">
        <v>24</v>
      </c>
      <c r="B5">
        <v>1E-3</v>
      </c>
      <c r="N5">
        <f>SUM(N3:N4)</f>
        <v>5802</v>
      </c>
      <c r="O5">
        <v>5773</v>
      </c>
    </row>
    <row r="6" spans="1:15">
      <c r="A6" t="s">
        <v>25</v>
      </c>
      <c r="B6" s="1">
        <v>0.05</v>
      </c>
      <c r="F6" t="s">
        <v>27</v>
      </c>
    </row>
    <row r="7" spans="1:15">
      <c r="F7" t="s">
        <v>24</v>
      </c>
      <c r="G7">
        <v>2E-3</v>
      </c>
    </row>
    <row r="8" spans="1:15">
      <c r="F8" t="s">
        <v>25</v>
      </c>
      <c r="G8">
        <v>0</v>
      </c>
    </row>
    <row r="9" spans="1:15">
      <c r="A9" t="s">
        <v>28</v>
      </c>
    </row>
    <row r="10" spans="1:15">
      <c r="A10" t="s">
        <v>24</v>
      </c>
      <c r="B10">
        <v>1E-3</v>
      </c>
    </row>
    <row r="11" spans="1:15">
      <c r="A11" t="s">
        <v>25</v>
      </c>
      <c r="B11" s="1">
        <v>0.02</v>
      </c>
    </row>
    <row r="14" spans="1:15">
      <c r="A14" t="s">
        <v>29</v>
      </c>
    </row>
    <row r="15" spans="1:15">
      <c r="A15" t="s">
        <v>24</v>
      </c>
      <c r="B15">
        <v>1E-3</v>
      </c>
    </row>
    <row r="16" spans="1:15">
      <c r="A16" t="s">
        <v>25</v>
      </c>
      <c r="B16">
        <v>5.0000000000000001E-4</v>
      </c>
    </row>
    <row r="19" spans="1:2">
      <c r="A19" t="s">
        <v>30</v>
      </c>
    </row>
    <row r="20" spans="1:2">
      <c r="A20" t="s">
        <v>25</v>
      </c>
      <c r="B20" s="1">
        <v>0.02</v>
      </c>
    </row>
    <row r="22" spans="1:2">
      <c r="A22" t="s">
        <v>31</v>
      </c>
    </row>
    <row r="23" spans="1:2">
      <c r="A23" t="s">
        <v>24</v>
      </c>
      <c r="B23" t="s">
        <v>32</v>
      </c>
    </row>
    <row r="24" spans="1:2">
      <c r="A24" t="s">
        <v>33</v>
      </c>
      <c r="B24" s="2">
        <v>8.0000000000000002E-3</v>
      </c>
    </row>
    <row r="27" spans="1:2">
      <c r="A27" t="s">
        <v>35</v>
      </c>
      <c r="B27">
        <v>4.0000000000000001E-3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4"/>
  <sheetViews>
    <sheetView tabSelected="1" workbookViewId="0">
      <selection activeCell="Z18" sqref="Z18"/>
    </sheetView>
  </sheetViews>
  <sheetFormatPr defaultRowHeight="15"/>
  <cols>
    <col min="1" max="1" width="11.85546875" customWidth="1"/>
    <col min="2" max="2" width="11.7109375" customWidth="1"/>
    <col min="3" max="5" width="10.7109375" customWidth="1"/>
    <col min="6" max="6" width="10.28515625" customWidth="1"/>
    <col min="7" max="8" width="9.42578125" customWidth="1"/>
    <col min="9" max="9" width="9.5703125" customWidth="1"/>
    <col min="10" max="14" width="9.7109375" customWidth="1"/>
    <col min="15" max="16" width="9.5703125" customWidth="1"/>
    <col min="17" max="17" width="9.7109375" customWidth="1"/>
    <col min="18" max="18" width="9.7109375" bestFit="1" customWidth="1"/>
    <col min="19" max="28" width="9.7109375" customWidth="1"/>
    <col min="30" max="30" width="9.7109375" bestFit="1" customWidth="1"/>
    <col min="31" max="31" width="9.7109375" customWidth="1"/>
    <col min="32" max="34" width="9.7109375" bestFit="1" customWidth="1"/>
  </cols>
  <sheetData>
    <row r="1" spans="1:39">
      <c r="A1" t="s">
        <v>52</v>
      </c>
      <c r="B1" t="s">
        <v>85</v>
      </c>
      <c r="C1" t="s">
        <v>86</v>
      </c>
      <c r="D1" t="s">
        <v>122</v>
      </c>
      <c r="E1" t="s">
        <v>118</v>
      </c>
      <c r="F1" s="14" t="s">
        <v>92</v>
      </c>
      <c r="G1" s="23" t="s">
        <v>95</v>
      </c>
      <c r="H1" s="24" t="s">
        <v>95</v>
      </c>
      <c r="I1" s="14" t="s">
        <v>54</v>
      </c>
      <c r="J1" s="23" t="s">
        <v>97</v>
      </c>
      <c r="K1" s="41" t="s">
        <v>97</v>
      </c>
      <c r="L1" s="41" t="s">
        <v>97</v>
      </c>
      <c r="M1" s="41" t="s">
        <v>97</v>
      </c>
      <c r="N1" s="24" t="s">
        <v>97</v>
      </c>
      <c r="O1" s="23">
        <v>5870</v>
      </c>
      <c r="P1" s="24">
        <v>5870</v>
      </c>
      <c r="Q1" s="23">
        <v>7870</v>
      </c>
      <c r="R1" s="24">
        <v>7870</v>
      </c>
      <c r="S1" s="23" t="s">
        <v>80</v>
      </c>
      <c r="T1" s="24" t="s">
        <v>80</v>
      </c>
      <c r="U1" s="23" t="s">
        <v>126</v>
      </c>
      <c r="V1" s="24" t="s">
        <v>126</v>
      </c>
      <c r="W1" s="23" t="s">
        <v>135</v>
      </c>
      <c r="X1" s="23" t="s">
        <v>135</v>
      </c>
      <c r="Y1" s="23" t="s">
        <v>139</v>
      </c>
      <c r="Z1" s="24" t="s">
        <v>139</v>
      </c>
      <c r="AA1" s="23" t="s">
        <v>140</v>
      </c>
      <c r="AB1" s="14" t="s">
        <v>140</v>
      </c>
      <c r="AC1" s="24" t="s">
        <v>97</v>
      </c>
      <c r="AD1" s="14" t="s">
        <v>114</v>
      </c>
      <c r="AE1" s="14" t="s">
        <v>116</v>
      </c>
      <c r="AF1" s="23" t="s">
        <v>87</v>
      </c>
      <c r="AG1" s="24" t="s">
        <v>87</v>
      </c>
      <c r="AH1" s="14" t="s">
        <v>107</v>
      </c>
    </row>
    <row r="2" spans="1:39">
      <c r="A2" t="s">
        <v>53</v>
      </c>
      <c r="B2" t="s">
        <v>120</v>
      </c>
      <c r="C2" t="s">
        <v>143</v>
      </c>
      <c r="D2" t="s">
        <v>128</v>
      </c>
      <c r="E2" t="s">
        <v>119</v>
      </c>
      <c r="F2" s="15" t="s">
        <v>64</v>
      </c>
      <c r="G2" s="25" t="s">
        <v>64</v>
      </c>
      <c r="H2" s="26" t="s">
        <v>64</v>
      </c>
      <c r="I2" s="15" t="s">
        <v>64</v>
      </c>
      <c r="J2" s="25" t="s">
        <v>64</v>
      </c>
      <c r="K2" s="42" t="s">
        <v>64</v>
      </c>
      <c r="L2" s="42" t="s">
        <v>64</v>
      </c>
      <c r="M2" s="42" t="s">
        <v>64</v>
      </c>
      <c r="N2" s="26" t="s">
        <v>64</v>
      </c>
      <c r="O2" s="25" t="s">
        <v>64</v>
      </c>
      <c r="P2" s="26" t="s">
        <v>64</v>
      </c>
      <c r="Q2" s="25" t="s">
        <v>64</v>
      </c>
      <c r="R2" s="26" t="s">
        <v>64</v>
      </c>
      <c r="S2" s="25" t="s">
        <v>64</v>
      </c>
      <c r="T2" s="26" t="s">
        <v>64</v>
      </c>
      <c r="U2" s="25" t="s">
        <v>64</v>
      </c>
      <c r="V2" s="26" t="s">
        <v>64</v>
      </c>
      <c r="W2" s="25" t="s">
        <v>64</v>
      </c>
      <c r="X2" s="42" t="s">
        <v>64</v>
      </c>
      <c r="Y2" s="25" t="s">
        <v>64</v>
      </c>
      <c r="Z2" s="26" t="s">
        <v>64</v>
      </c>
      <c r="AA2" s="25" t="s">
        <v>64</v>
      </c>
      <c r="AB2" s="26" t="s">
        <v>64</v>
      </c>
      <c r="AC2" s="26" t="s">
        <v>112</v>
      </c>
      <c r="AD2" s="15" t="s">
        <v>88</v>
      </c>
      <c r="AE2" s="15" t="s">
        <v>88</v>
      </c>
      <c r="AF2" s="25" t="s">
        <v>88</v>
      </c>
      <c r="AG2" s="26" t="s">
        <v>88</v>
      </c>
      <c r="AH2" s="15" t="s">
        <v>88</v>
      </c>
    </row>
    <row r="3" spans="1:39">
      <c r="B3" t="s">
        <v>127</v>
      </c>
      <c r="C3" t="s">
        <v>147</v>
      </c>
      <c r="D3" t="s">
        <v>123</v>
      </c>
      <c r="E3" t="s">
        <v>123</v>
      </c>
      <c r="F3" s="15"/>
      <c r="G3" s="25"/>
      <c r="H3" s="26" t="s">
        <v>72</v>
      </c>
      <c r="I3" s="15"/>
      <c r="J3" s="25"/>
      <c r="K3" s="42" t="s">
        <v>72</v>
      </c>
      <c r="L3" s="42" t="s">
        <v>72</v>
      </c>
      <c r="M3" s="42"/>
      <c r="N3" s="26" t="s">
        <v>72</v>
      </c>
      <c r="O3" s="25"/>
      <c r="P3" s="26" t="s">
        <v>72</v>
      </c>
      <c r="Q3" s="25"/>
      <c r="R3" s="26" t="s">
        <v>72</v>
      </c>
      <c r="S3" s="25"/>
      <c r="T3" s="26" t="s">
        <v>72</v>
      </c>
      <c r="U3" s="25"/>
      <c r="V3" s="26" t="s">
        <v>72</v>
      </c>
      <c r="W3" s="25"/>
      <c r="X3" s="42" t="s">
        <v>72</v>
      </c>
      <c r="Y3" s="25"/>
      <c r="Z3" s="26" t="s">
        <v>72</v>
      </c>
      <c r="AA3" s="25"/>
      <c r="AB3" s="26" t="s">
        <v>72</v>
      </c>
      <c r="AC3" s="26" t="s">
        <v>72</v>
      </c>
      <c r="AD3" s="15"/>
      <c r="AE3" s="15"/>
      <c r="AF3" s="25"/>
      <c r="AG3" s="26" t="s">
        <v>72</v>
      </c>
      <c r="AH3" s="15" t="s">
        <v>72</v>
      </c>
    </row>
    <row r="4" spans="1:39">
      <c r="B4" t="s">
        <v>124</v>
      </c>
      <c r="C4" t="s">
        <v>144</v>
      </c>
      <c r="D4" t="s">
        <v>129</v>
      </c>
      <c r="E4" t="s">
        <v>145</v>
      </c>
      <c r="F4" s="15"/>
      <c r="G4" s="25"/>
      <c r="H4" s="26" t="s">
        <v>73</v>
      </c>
      <c r="I4" s="15"/>
      <c r="J4" s="25"/>
      <c r="K4" s="42" t="s">
        <v>73</v>
      </c>
      <c r="L4" s="42" t="s">
        <v>108</v>
      </c>
      <c r="M4" s="42"/>
      <c r="N4" s="26" t="s">
        <v>73</v>
      </c>
      <c r="O4" s="25"/>
      <c r="P4" s="26" t="s">
        <v>73</v>
      </c>
      <c r="Q4" s="25"/>
      <c r="R4" s="26" t="s">
        <v>73</v>
      </c>
      <c r="S4" s="25"/>
      <c r="T4" s="26" t="s">
        <v>73</v>
      </c>
      <c r="U4" s="25"/>
      <c r="V4" s="26" t="s">
        <v>73</v>
      </c>
      <c r="W4" s="25"/>
      <c r="X4" s="42" t="s">
        <v>73</v>
      </c>
      <c r="Y4" s="25"/>
      <c r="Z4" s="26" t="s">
        <v>73</v>
      </c>
      <c r="AA4" s="25"/>
      <c r="AB4" s="26" t="s">
        <v>73</v>
      </c>
      <c r="AC4" s="26" t="s">
        <v>121</v>
      </c>
      <c r="AD4" s="15"/>
      <c r="AE4" s="15"/>
      <c r="AF4" s="25"/>
      <c r="AG4" s="26" t="s">
        <v>73</v>
      </c>
      <c r="AH4" s="15" t="s">
        <v>73</v>
      </c>
    </row>
    <row r="5" spans="1:39">
      <c r="A5" t="s">
        <v>55</v>
      </c>
      <c r="B5" t="s">
        <v>89</v>
      </c>
      <c r="C5" t="s">
        <v>136</v>
      </c>
      <c r="D5" t="s">
        <v>130</v>
      </c>
      <c r="E5" t="s">
        <v>130</v>
      </c>
      <c r="F5" s="15" t="s">
        <v>93</v>
      </c>
      <c r="G5" s="25"/>
      <c r="H5" s="26"/>
      <c r="I5" s="15"/>
      <c r="J5" s="25"/>
      <c r="K5" s="42"/>
      <c r="L5" s="42"/>
      <c r="M5" s="42"/>
      <c r="N5" s="26"/>
      <c r="O5" s="25"/>
      <c r="P5" s="26"/>
      <c r="Q5" s="25"/>
      <c r="R5" s="26"/>
      <c r="S5" s="25"/>
      <c r="T5" s="26"/>
      <c r="U5" s="25"/>
      <c r="V5" s="26"/>
      <c r="W5" s="25"/>
      <c r="X5" s="42"/>
      <c r="Y5" s="25"/>
      <c r="Z5" s="26"/>
      <c r="AA5" s="25"/>
      <c r="AB5" s="26"/>
      <c r="AC5" s="26"/>
      <c r="AD5" s="15"/>
      <c r="AE5" s="15"/>
      <c r="AF5" s="25"/>
      <c r="AG5" s="26"/>
      <c r="AH5" s="15"/>
    </row>
    <row r="6" spans="1:39">
      <c r="A6" s="13" t="s">
        <v>57</v>
      </c>
      <c r="B6" t="s">
        <v>90</v>
      </c>
      <c r="C6" t="s">
        <v>90</v>
      </c>
      <c r="D6" t="s">
        <v>90</v>
      </c>
      <c r="E6" t="s">
        <v>90</v>
      </c>
      <c r="F6" s="15"/>
      <c r="G6" s="25">
        <v>18.584</v>
      </c>
      <c r="H6" s="26">
        <v>14.314</v>
      </c>
      <c r="I6" s="15">
        <v>34.026000000000003</v>
      </c>
      <c r="J6" s="25">
        <v>17.248999999999999</v>
      </c>
      <c r="K6" s="42">
        <v>8.9190000000000005</v>
      </c>
      <c r="L6" s="42"/>
      <c r="M6" s="42"/>
      <c r="N6" s="26"/>
      <c r="O6" s="25"/>
      <c r="P6" s="26"/>
      <c r="Q6" s="25"/>
      <c r="R6" s="26"/>
      <c r="S6" s="25"/>
      <c r="T6" s="26"/>
      <c r="U6" s="25"/>
      <c r="V6" s="26"/>
      <c r="W6" s="25"/>
      <c r="X6" s="42"/>
      <c r="Y6" s="25" t="s">
        <v>138</v>
      </c>
      <c r="Z6" s="26"/>
      <c r="AA6" s="25"/>
      <c r="AB6" s="26"/>
      <c r="AC6" s="26"/>
      <c r="AD6" s="15"/>
      <c r="AE6" s="15"/>
      <c r="AF6" s="25"/>
      <c r="AG6" s="26"/>
      <c r="AH6" s="15"/>
    </row>
    <row r="7" spans="1:39">
      <c r="A7" s="13" t="s">
        <v>67</v>
      </c>
      <c r="B7" t="s">
        <v>91</v>
      </c>
      <c r="C7" t="s">
        <v>137</v>
      </c>
      <c r="D7" t="s">
        <v>91</v>
      </c>
      <c r="E7" t="s">
        <v>91</v>
      </c>
      <c r="F7" s="15"/>
      <c r="G7" s="25"/>
      <c r="H7" s="26"/>
      <c r="I7" s="15"/>
      <c r="J7" s="25"/>
      <c r="K7" s="42"/>
      <c r="L7" s="42"/>
      <c r="M7" s="42"/>
      <c r="N7" s="26"/>
      <c r="O7" s="25"/>
      <c r="P7" s="26"/>
      <c r="Q7" s="25">
        <v>157</v>
      </c>
      <c r="R7" s="26" t="s">
        <v>77</v>
      </c>
      <c r="S7" s="25" t="s">
        <v>81</v>
      </c>
      <c r="T7" s="26" t="s">
        <v>83</v>
      </c>
      <c r="U7" s="25">
        <v>162.5</v>
      </c>
      <c r="V7" s="26">
        <v>133</v>
      </c>
      <c r="W7" s="25" t="s">
        <v>131</v>
      </c>
      <c r="X7" s="42"/>
      <c r="Y7" s="25"/>
      <c r="Z7" s="26"/>
      <c r="AA7" s="25" t="s">
        <v>148</v>
      </c>
      <c r="AB7" s="26"/>
      <c r="AC7" s="26"/>
      <c r="AD7" s="15"/>
      <c r="AE7" s="15"/>
      <c r="AF7" s="25">
        <v>857.5</v>
      </c>
      <c r="AG7" s="26"/>
      <c r="AH7" s="15"/>
    </row>
    <row r="8" spans="1:39">
      <c r="A8" s="13" t="s">
        <v>100</v>
      </c>
      <c r="F8" s="15"/>
      <c r="G8" s="25"/>
      <c r="H8" s="26"/>
      <c r="I8" s="15"/>
      <c r="J8" s="25"/>
      <c r="K8" s="42"/>
      <c r="L8" s="42">
        <v>160</v>
      </c>
      <c r="M8" s="42">
        <v>136.9</v>
      </c>
      <c r="N8" s="26">
        <v>81.2</v>
      </c>
      <c r="O8" s="25" t="s">
        <v>110</v>
      </c>
      <c r="P8" s="26">
        <v>83</v>
      </c>
      <c r="Q8" s="25"/>
      <c r="R8" s="26"/>
      <c r="S8" s="25"/>
      <c r="T8" s="26"/>
      <c r="U8" s="25"/>
      <c r="V8" s="26"/>
      <c r="W8" s="25"/>
      <c r="X8" s="42"/>
      <c r="Y8" s="25"/>
      <c r="Z8" s="26"/>
      <c r="AA8" s="25"/>
      <c r="AB8" s="26"/>
      <c r="AC8" s="26">
        <v>160.30000000000001</v>
      </c>
      <c r="AD8" s="15"/>
      <c r="AE8" s="15"/>
      <c r="AF8" s="25"/>
      <c r="AG8" s="26"/>
      <c r="AH8" s="15"/>
    </row>
    <row r="9" spans="1:39">
      <c r="A9" t="s">
        <v>65</v>
      </c>
      <c r="F9" s="15">
        <v>1.1702E-6</v>
      </c>
      <c r="G9" s="25">
        <v>2.7200000000000002E-3</v>
      </c>
      <c r="H9" s="26">
        <v>2.47E-3</v>
      </c>
      <c r="I9" s="15">
        <v>4.3400000000000001E-3</v>
      </c>
      <c r="J9" s="25">
        <v>2.5999999999999999E-3</v>
      </c>
      <c r="K9" s="42">
        <v>1.2700000000000001E-3</v>
      </c>
      <c r="L9" s="42">
        <v>3.1519999999999999E-2</v>
      </c>
      <c r="M9" s="42">
        <v>2.3310000000000001E-2</v>
      </c>
      <c r="N9" s="26">
        <v>1.704E-2</v>
      </c>
      <c r="O9" s="25">
        <v>1.9730000000000001E-2</v>
      </c>
      <c r="P9" s="26">
        <v>9.4999999999999998E-3</v>
      </c>
      <c r="Q9" s="25">
        <v>6.4170000000000005E-2</v>
      </c>
      <c r="R9" s="26">
        <v>4.2090000000000002E-2</v>
      </c>
      <c r="S9" s="25">
        <v>9.5000000000000001E-2</v>
      </c>
      <c r="T9" s="26">
        <v>4.7829999999999998E-2</v>
      </c>
      <c r="U9" s="25">
        <v>8.1439999999999999E-2</v>
      </c>
      <c r="V9" s="26">
        <v>4.5569999999999999E-2</v>
      </c>
      <c r="W9" s="25">
        <v>0.11115</v>
      </c>
      <c r="X9" s="42">
        <v>8.4989999999999996E-2</v>
      </c>
      <c r="Y9" s="25">
        <v>0.13222999999999999</v>
      </c>
      <c r="Z9" s="26">
        <v>8.3525000000000002E-2</v>
      </c>
      <c r="AA9" s="25">
        <v>0.11207</v>
      </c>
      <c r="AB9" s="26">
        <v>9.6229999999999996E-2</v>
      </c>
      <c r="AC9" s="26">
        <v>3.1519999999999999E-2</v>
      </c>
      <c r="AD9" s="15">
        <v>0.17842</v>
      </c>
      <c r="AE9" s="15">
        <v>0.16750000000000001</v>
      </c>
      <c r="AF9" s="25">
        <v>0.37190000000000001</v>
      </c>
      <c r="AG9" s="26">
        <v>0.23469999999999999</v>
      </c>
      <c r="AH9" s="15">
        <v>0.26385999999999998</v>
      </c>
    </row>
    <row r="10" spans="1:39">
      <c r="A10" t="s">
        <v>56</v>
      </c>
      <c r="B10">
        <v>1.36</v>
      </c>
      <c r="C10">
        <v>1.2688999999999999</v>
      </c>
      <c r="F10" s="15">
        <v>0.96299999999999997</v>
      </c>
      <c r="G10" s="25">
        <v>4.1520000000000001</v>
      </c>
      <c r="H10" s="26">
        <v>3.6539999999999999</v>
      </c>
      <c r="I10" s="15">
        <v>7.0469999999999997</v>
      </c>
      <c r="J10" s="25">
        <v>1.2</v>
      </c>
      <c r="K10" s="42">
        <v>0.93600000000000005</v>
      </c>
      <c r="L10" s="42">
        <v>1.1759999999999999</v>
      </c>
      <c r="M10" s="42">
        <v>1.1712</v>
      </c>
      <c r="N10" s="26">
        <v>0.97850000000000004</v>
      </c>
      <c r="O10" s="25">
        <v>3.4060000000000001</v>
      </c>
      <c r="P10" s="26">
        <v>2.1859999999999999</v>
      </c>
      <c r="Q10" s="25">
        <v>4.2149999999999999</v>
      </c>
      <c r="R10" s="26">
        <v>3.0579999999999998</v>
      </c>
      <c r="S10" s="25">
        <v>5.3849999999999998</v>
      </c>
      <c r="T10" s="26">
        <v>2.9220000000000002</v>
      </c>
      <c r="U10" s="25">
        <v>5.4329999999999998</v>
      </c>
      <c r="V10" s="26">
        <v>3.8759999999999999</v>
      </c>
      <c r="W10" s="25">
        <v>3.6675</v>
      </c>
      <c r="X10" s="42">
        <v>3.5327999999999999</v>
      </c>
      <c r="Y10" s="25">
        <v>4.9287999999999998</v>
      </c>
      <c r="Z10" s="26">
        <v>3.7608999999999999</v>
      </c>
      <c r="AA10" s="25">
        <v>4.9215</v>
      </c>
      <c r="AB10" s="26">
        <v>3.62</v>
      </c>
      <c r="AC10" s="26">
        <v>2.5499999999999998</v>
      </c>
      <c r="AD10" s="15">
        <v>8.9730000000000008</v>
      </c>
      <c r="AE10" s="15">
        <v>13.071999999999999</v>
      </c>
      <c r="AF10" s="25">
        <v>13.337999999999999</v>
      </c>
      <c r="AG10" s="26">
        <v>10.842499999999999</v>
      </c>
      <c r="AH10" s="15">
        <v>13.923</v>
      </c>
    </row>
    <row r="11" spans="1:39" s="8" customFormat="1">
      <c r="A11" s="8" t="s">
        <v>79</v>
      </c>
      <c r="F11" s="16">
        <f t="shared" ref="F11:H11" si="0">F9/F10*100</f>
        <v>1.2151609553478713E-4</v>
      </c>
      <c r="G11" s="27">
        <f t="shared" si="0"/>
        <v>6.551059730250483E-2</v>
      </c>
      <c r="H11" s="28">
        <f t="shared" si="0"/>
        <v>6.7597153804050361E-2</v>
      </c>
      <c r="I11" s="16">
        <f>I9/I10*100</f>
        <v>6.158649070526466E-2</v>
      </c>
      <c r="J11" s="27">
        <f t="shared" ref="J11:K11" si="1">J9/J10*100</f>
        <v>0.21666666666666665</v>
      </c>
      <c r="K11" s="43">
        <f t="shared" si="1"/>
        <v>0.1356837606837607</v>
      </c>
      <c r="L11" s="43">
        <f t="shared" ref="L11:M11" si="2">L9/L10*100</f>
        <v>2.6802721088435377</v>
      </c>
      <c r="M11" s="43">
        <f t="shared" si="2"/>
        <v>1.9902663934426228</v>
      </c>
      <c r="N11" s="28">
        <f t="shared" ref="N11" si="3">N9/N10*100</f>
        <v>1.7414409810935103</v>
      </c>
      <c r="O11" s="27">
        <f t="shared" ref="O11" si="4">O9/O10*100</f>
        <v>0.57927187316500295</v>
      </c>
      <c r="P11" s="28">
        <f t="shared" ref="P11" si="5">P9/P10*100</f>
        <v>0.43458371454711803</v>
      </c>
      <c r="Q11" s="27">
        <f>Q9/Q10*100</f>
        <v>1.5224199288256228</v>
      </c>
      <c r="R11" s="28">
        <f>R9/R10*100</f>
        <v>1.376389797253107</v>
      </c>
      <c r="S11" s="27">
        <f t="shared" ref="S11:AM11" si="6">S9/S10*100</f>
        <v>1.7641597028783658</v>
      </c>
      <c r="T11" s="28">
        <f t="shared" si="6"/>
        <v>1.6368925393566047</v>
      </c>
      <c r="U11" s="27">
        <f t="shared" si="6"/>
        <v>1.4989876679550893</v>
      </c>
      <c r="V11" s="28">
        <f t="shared" si="6"/>
        <v>1.1756965944272446</v>
      </c>
      <c r="W11" s="27">
        <f t="shared" ref="W11:X11" si="7">W9/W10*100</f>
        <v>3.0306748466257671</v>
      </c>
      <c r="X11" s="43">
        <f t="shared" si="7"/>
        <v>2.4057404891304346</v>
      </c>
      <c r="Y11" s="27">
        <f t="shared" ref="Y11:AB11" si="8">Y9/Y10*100</f>
        <v>2.6828031163772112</v>
      </c>
      <c r="Z11" s="28">
        <f t="shared" si="8"/>
        <v>2.220877981334255</v>
      </c>
      <c r="AA11" s="27">
        <f t="shared" si="8"/>
        <v>2.2771512750177791</v>
      </c>
      <c r="AB11" s="28">
        <f t="shared" si="8"/>
        <v>2.6582872928176791</v>
      </c>
      <c r="AC11" s="28">
        <f t="shared" si="6"/>
        <v>1.2360784313725492</v>
      </c>
      <c r="AD11" s="16">
        <f t="shared" si="6"/>
        <v>1.9884096734648389</v>
      </c>
      <c r="AE11" s="16">
        <f t="shared" si="6"/>
        <v>1.2813647490820075</v>
      </c>
      <c r="AF11" s="27">
        <f t="shared" si="6"/>
        <v>2.7882741040635777</v>
      </c>
      <c r="AG11" s="28">
        <f t="shared" si="6"/>
        <v>2.1646299285220199</v>
      </c>
      <c r="AH11" s="16">
        <f t="shared" si="6"/>
        <v>1.8951375421963654</v>
      </c>
      <c r="AI11" s="9" t="e">
        <f t="shared" si="6"/>
        <v>#DIV/0!</v>
      </c>
      <c r="AJ11" s="9" t="e">
        <f t="shared" si="6"/>
        <v>#DIV/0!</v>
      </c>
      <c r="AK11" s="9" t="e">
        <f t="shared" si="6"/>
        <v>#DIV/0!</v>
      </c>
      <c r="AL11" s="9" t="e">
        <f t="shared" si="6"/>
        <v>#DIV/0!</v>
      </c>
      <c r="AM11" s="9" t="e">
        <f t="shared" si="6"/>
        <v>#DIV/0!</v>
      </c>
    </row>
    <row r="12" spans="1:39">
      <c r="A12" t="s">
        <v>58</v>
      </c>
      <c r="B12">
        <v>95</v>
      </c>
      <c r="C12">
        <v>75.7</v>
      </c>
      <c r="F12" s="15">
        <v>41.8</v>
      </c>
      <c r="G12" s="25">
        <v>173.1</v>
      </c>
      <c r="H12" s="26" t="s">
        <v>32</v>
      </c>
      <c r="I12" s="15" t="s">
        <v>32</v>
      </c>
      <c r="J12" s="25">
        <v>57.8</v>
      </c>
      <c r="K12" s="42">
        <v>41</v>
      </c>
      <c r="L12" s="42">
        <v>59.7</v>
      </c>
      <c r="M12" s="42">
        <v>54</v>
      </c>
      <c r="N12" s="26"/>
      <c r="O12" s="25"/>
      <c r="P12" s="26"/>
      <c r="Q12" s="25">
        <v>193.4</v>
      </c>
      <c r="R12" s="26">
        <v>137.9</v>
      </c>
      <c r="S12" s="25">
        <v>229.2</v>
      </c>
      <c r="T12" s="26">
        <v>177.9</v>
      </c>
      <c r="U12" s="25">
        <v>307.2</v>
      </c>
      <c r="V12" s="26">
        <v>162.5</v>
      </c>
      <c r="W12" s="25">
        <v>160.6</v>
      </c>
      <c r="X12" s="42">
        <v>152.30000000000001</v>
      </c>
      <c r="Y12" s="25">
        <v>230.3</v>
      </c>
      <c r="Z12" s="26">
        <v>154.30000000000001</v>
      </c>
      <c r="AA12" s="25">
        <v>210.2</v>
      </c>
      <c r="AB12" s="26">
        <v>203.1</v>
      </c>
      <c r="AC12" s="26">
        <v>139.6</v>
      </c>
      <c r="AD12" s="15">
        <v>440</v>
      </c>
      <c r="AE12" s="15">
        <v>666</v>
      </c>
      <c r="AF12" s="25">
        <v>623.79999999999995</v>
      </c>
      <c r="AG12" s="26">
        <v>475.2</v>
      </c>
      <c r="AH12" s="15">
        <v>635.6</v>
      </c>
    </row>
    <row r="13" spans="1:39">
      <c r="F13" s="15"/>
      <c r="G13" s="25"/>
      <c r="H13" s="26"/>
      <c r="I13" s="15"/>
      <c r="J13" s="25"/>
      <c r="K13" s="42"/>
      <c r="L13" s="42"/>
      <c r="M13" s="42"/>
      <c r="N13" s="26"/>
      <c r="O13" s="25"/>
      <c r="P13" s="26"/>
      <c r="Q13" s="25"/>
      <c r="R13" s="26"/>
      <c r="S13" s="25"/>
      <c r="T13" s="26"/>
      <c r="U13" s="25"/>
      <c r="V13" s="26"/>
      <c r="W13" s="25"/>
      <c r="X13" s="42"/>
      <c r="Y13" s="25"/>
      <c r="Z13" s="26"/>
      <c r="AA13" s="25"/>
      <c r="AB13" s="26"/>
      <c r="AC13" s="26"/>
      <c r="AD13" s="15"/>
      <c r="AE13" s="15"/>
      <c r="AF13" s="25"/>
      <c r="AG13" s="26"/>
      <c r="AH13" s="15"/>
    </row>
    <row r="14" spans="1:39">
      <c r="A14" t="s">
        <v>60</v>
      </c>
      <c r="B14" s="7"/>
      <c r="C14" s="7"/>
      <c r="D14" s="7"/>
      <c r="E14" s="7"/>
      <c r="F14" s="17">
        <f t="shared" ref="F14" si="9">(F9/1000)*$B33</f>
        <v>5.2997655880000002E-4</v>
      </c>
      <c r="G14" s="29">
        <f t="shared" ref="G14:H14" si="10">(G9/1000)*$B33</f>
        <v>1.23187168</v>
      </c>
      <c r="H14" s="30">
        <f t="shared" si="10"/>
        <v>1.1186481800000001</v>
      </c>
      <c r="I14" s="17">
        <f>(I9/1000)*$B33</f>
        <v>1.96555996</v>
      </c>
      <c r="J14" s="29">
        <f t="shared" ref="J14:L14" si="11">(J9/1000)*$B33</f>
        <v>1.1775243999999998</v>
      </c>
      <c r="K14" s="44">
        <f t="shared" si="11"/>
        <v>0.57517538000000001</v>
      </c>
      <c r="L14" s="44">
        <f t="shared" si="11"/>
        <v>14.275218879999999</v>
      </c>
      <c r="M14" s="44">
        <f t="shared" ref="M14:N14" si="12">(M9/1000)*$B33</f>
        <v>10.556959140000002</v>
      </c>
      <c r="N14" s="30">
        <f t="shared" si="12"/>
        <v>7.7173137599999997</v>
      </c>
      <c r="O14" s="29">
        <f t="shared" ref="O14:P14" si="13">(O9/1000)*$B33</f>
        <v>8.9355986200000004</v>
      </c>
      <c r="P14" s="30">
        <f t="shared" si="13"/>
        <v>4.3024930000000001</v>
      </c>
      <c r="Q14" s="29">
        <f>(Q9/1000)*$B33</f>
        <v>29.06220798</v>
      </c>
      <c r="R14" s="30">
        <f>(R9/1000)*$B33</f>
        <v>19.062308460000004</v>
      </c>
      <c r="S14" s="29">
        <f t="shared" ref="S14:AM14" si="14">(S9/1000)*$B33</f>
        <v>43.024930000000005</v>
      </c>
      <c r="T14" s="30">
        <f t="shared" si="14"/>
        <v>21.661920019999997</v>
      </c>
      <c r="U14" s="29">
        <f t="shared" ref="U14:V14" si="15">(U9/1000)*$B33</f>
        <v>36.883687359999996</v>
      </c>
      <c r="V14" s="30">
        <f t="shared" si="15"/>
        <v>20.638379579999999</v>
      </c>
      <c r="W14" s="29">
        <f t="shared" ref="W14:X14" si="16">(W9/1000)*$B33</f>
        <v>50.339168100000002</v>
      </c>
      <c r="X14" s="44">
        <f t="shared" si="16"/>
        <v>38.491461059999999</v>
      </c>
      <c r="Y14" s="29">
        <f t="shared" ref="Y14:AB14" si="17">(Y9/1000)*$B33</f>
        <v>59.886173620000001</v>
      </c>
      <c r="Z14" s="30">
        <f t="shared" si="17"/>
        <v>37.827971349999999</v>
      </c>
      <c r="AA14" s="29">
        <f t="shared" si="17"/>
        <v>50.755830580000001</v>
      </c>
      <c r="AB14" s="30">
        <f t="shared" si="17"/>
        <v>43.581989619999995</v>
      </c>
      <c r="AC14" s="30">
        <f t="shared" ref="AC14:AD14" si="18">(AC9/1000)*$B33</f>
        <v>14.275218879999999</v>
      </c>
      <c r="AD14" s="17">
        <f t="shared" si="18"/>
        <v>80.805347479999995</v>
      </c>
      <c r="AE14" s="17">
        <f t="shared" ref="AE14" si="19">(AE9/1000)*$B33</f>
        <v>75.859745000000004</v>
      </c>
      <c r="AF14" s="29">
        <f t="shared" si="14"/>
        <v>168.43127859999998</v>
      </c>
      <c r="AG14" s="30">
        <f t="shared" si="14"/>
        <v>106.29422179999999</v>
      </c>
      <c r="AH14" s="17">
        <f t="shared" si="14"/>
        <v>119.50061083999999</v>
      </c>
      <c r="AI14" s="7">
        <f t="shared" si="14"/>
        <v>0</v>
      </c>
      <c r="AJ14" s="7">
        <f t="shared" si="14"/>
        <v>0</v>
      </c>
      <c r="AK14" s="7">
        <f t="shared" si="14"/>
        <v>0</v>
      </c>
      <c r="AL14" s="7">
        <f t="shared" si="14"/>
        <v>0</v>
      </c>
      <c r="AM14" s="7">
        <f t="shared" si="14"/>
        <v>0</v>
      </c>
    </row>
    <row r="15" spans="1:39" s="8" customFormat="1">
      <c r="A15" s="8" t="s">
        <v>61</v>
      </c>
      <c r="B15" s="10">
        <f>B10*-$B34</f>
        <v>-4.4880000000000004</v>
      </c>
      <c r="C15" s="10">
        <f>C10*-$B34</f>
        <v>-4.1873699999999996</v>
      </c>
      <c r="D15" s="10">
        <f>D10*-$B34</f>
        <v>0</v>
      </c>
      <c r="E15" s="10">
        <f>E10*-$B34</f>
        <v>0</v>
      </c>
      <c r="F15" s="18">
        <f t="shared" ref="F15" si="20">F14-F10*$B34</f>
        <v>-3.1773700234411999</v>
      </c>
      <c r="G15" s="31">
        <f t="shared" ref="G15:H15" si="21">G14-G10*$B34</f>
        <v>-12.46972832</v>
      </c>
      <c r="H15" s="32">
        <f t="shared" si="21"/>
        <v>-10.939551819999998</v>
      </c>
      <c r="I15" s="18">
        <f>I14-I10*$B34</f>
        <v>-21.289540039999999</v>
      </c>
      <c r="J15" s="31">
        <f t="shared" ref="J15:K15" si="22">J14-J10*$B34</f>
        <v>-2.7824755999999997</v>
      </c>
      <c r="K15" s="45">
        <f t="shared" si="22"/>
        <v>-2.5136246199999999</v>
      </c>
      <c r="L15" s="45">
        <f t="shared" ref="L15:M15" si="23">L14-L10*$B34</f>
        <v>10.39441888</v>
      </c>
      <c r="M15" s="45">
        <f t="shared" si="23"/>
        <v>6.6919991400000018</v>
      </c>
      <c r="N15" s="32">
        <f t="shared" ref="N15" si="24">N14-N10*$B34</f>
        <v>4.4882637599999997</v>
      </c>
      <c r="O15" s="31">
        <f t="shared" ref="O15" si="25">O14-O10*$B34</f>
        <v>-2.3042013800000003</v>
      </c>
      <c r="P15" s="32">
        <f t="shared" ref="P15" si="26">P14-P10*$B34</f>
        <v>-2.911306999999999</v>
      </c>
      <c r="Q15" s="31">
        <f>Q14-Q10*$B34</f>
        <v>15.152707980000001</v>
      </c>
      <c r="R15" s="32">
        <f>R14-R10*$B34</f>
        <v>8.9709084600000057</v>
      </c>
      <c r="S15" s="31">
        <f t="shared" ref="S15:AM15" si="27">S14-S10*$B34</f>
        <v>25.254430000000006</v>
      </c>
      <c r="T15" s="32">
        <f t="shared" si="27"/>
        <v>12.019320019999997</v>
      </c>
      <c r="U15" s="31">
        <f t="shared" ref="U15:V15" si="28">U14-U10*$B34</f>
        <v>18.954787359999997</v>
      </c>
      <c r="V15" s="32">
        <f t="shared" si="28"/>
        <v>7.8475795799999997</v>
      </c>
      <c r="W15" s="31">
        <f t="shared" ref="W15:X15" si="29">W14-W10*$B34</f>
        <v>38.236418100000002</v>
      </c>
      <c r="X15" s="45">
        <f t="shared" si="29"/>
        <v>26.83322106</v>
      </c>
      <c r="Y15" s="31">
        <f t="shared" ref="Y15:AB15" si="30">Y14-Y10*$B34</f>
        <v>43.621133620000002</v>
      </c>
      <c r="Z15" s="32">
        <f t="shared" si="30"/>
        <v>25.41700135</v>
      </c>
      <c r="AA15" s="31">
        <f t="shared" si="30"/>
        <v>34.514880580000003</v>
      </c>
      <c r="AB15" s="32">
        <f t="shared" si="30"/>
        <v>31.635989619999997</v>
      </c>
      <c r="AC15" s="32">
        <f t="shared" si="27"/>
        <v>5.8602188799999997</v>
      </c>
      <c r="AD15" s="18">
        <f t="shared" si="27"/>
        <v>51.194447479999994</v>
      </c>
      <c r="AE15" s="18">
        <f t="shared" si="27"/>
        <v>32.722145000000012</v>
      </c>
      <c r="AF15" s="31">
        <f t="shared" si="27"/>
        <v>124.41587859999998</v>
      </c>
      <c r="AG15" s="32">
        <f t="shared" si="27"/>
        <v>70.513971799999993</v>
      </c>
      <c r="AH15" s="18">
        <f t="shared" si="27"/>
        <v>73.554710839999998</v>
      </c>
      <c r="AI15" s="10">
        <f t="shared" si="27"/>
        <v>0</v>
      </c>
      <c r="AJ15" s="10">
        <f t="shared" si="27"/>
        <v>0</v>
      </c>
      <c r="AK15" s="10">
        <f t="shared" si="27"/>
        <v>0</v>
      </c>
      <c r="AL15" s="10">
        <f t="shared" si="27"/>
        <v>0</v>
      </c>
      <c r="AM15" s="10">
        <f t="shared" si="27"/>
        <v>0</v>
      </c>
    </row>
    <row r="16" spans="1:39">
      <c r="B16" s="7"/>
      <c r="C16" s="7"/>
      <c r="D16" s="7"/>
      <c r="E16" s="7"/>
      <c r="F16" s="17"/>
      <c r="G16" s="29"/>
      <c r="H16" s="30"/>
      <c r="I16" s="17"/>
      <c r="J16" s="29"/>
      <c r="K16" s="44"/>
      <c r="L16" s="44"/>
      <c r="M16" s="44"/>
      <c r="N16" s="30"/>
      <c r="O16" s="29"/>
      <c r="P16" s="30"/>
      <c r="Q16" s="29"/>
      <c r="R16" s="30"/>
      <c r="S16" s="29"/>
      <c r="T16" s="30"/>
      <c r="U16" s="29"/>
      <c r="V16" s="30"/>
      <c r="W16" s="29"/>
      <c r="X16" s="44"/>
      <c r="Y16" s="29"/>
      <c r="Z16" s="30"/>
      <c r="AA16" s="29"/>
      <c r="AB16" s="30"/>
      <c r="AC16" s="30"/>
      <c r="AD16" s="17"/>
      <c r="AE16" s="17"/>
      <c r="AF16" s="29"/>
      <c r="AG16" s="30"/>
      <c r="AH16" s="17"/>
      <c r="AI16" s="7"/>
      <c r="AJ16" s="7"/>
      <c r="AK16" s="7"/>
      <c r="AL16" s="7"/>
      <c r="AM16" s="7"/>
    </row>
    <row r="17" spans="1:39">
      <c r="A17" t="s">
        <v>49</v>
      </c>
      <c r="B17" s="7"/>
      <c r="C17" s="7"/>
      <c r="D17" s="7"/>
      <c r="E17" s="7"/>
      <c r="F17" s="17">
        <f t="shared" ref="F17" si="31">F14*30</f>
        <v>1.5899296763999999E-2</v>
      </c>
      <c r="G17" s="29">
        <f t="shared" ref="G17:H17" si="32">G14*30</f>
        <v>36.956150399999999</v>
      </c>
      <c r="H17" s="30">
        <f t="shared" si="32"/>
        <v>33.559445400000001</v>
      </c>
      <c r="I17" s="17">
        <f>I14*30</f>
        <v>58.966798799999999</v>
      </c>
      <c r="J17" s="29">
        <f t="shared" ref="J17:L17" si="33">J14*30</f>
        <v>35.325731999999995</v>
      </c>
      <c r="K17" s="44">
        <f t="shared" si="33"/>
        <v>17.255261400000002</v>
      </c>
      <c r="L17" s="44">
        <f t="shared" si="33"/>
        <v>428.25656639999994</v>
      </c>
      <c r="M17" s="44">
        <f t="shared" ref="M17:N17" si="34">M14*30</f>
        <v>316.70877420000005</v>
      </c>
      <c r="N17" s="30">
        <f t="shared" si="34"/>
        <v>231.5194128</v>
      </c>
      <c r="O17" s="29">
        <f t="shared" ref="O17:P17" si="35">O14*30</f>
        <v>268.0679586</v>
      </c>
      <c r="P17" s="30">
        <f t="shared" si="35"/>
        <v>129.07479000000001</v>
      </c>
      <c r="Q17" s="29">
        <f>Q14*30</f>
        <v>871.86623940000004</v>
      </c>
      <c r="R17" s="30">
        <f>R14*30</f>
        <v>571.86925380000014</v>
      </c>
      <c r="S17" s="29">
        <f>S14*30</f>
        <v>1290.7479000000001</v>
      </c>
      <c r="T17" s="30">
        <f t="shared" ref="T17:AM17" si="36">T14*30</f>
        <v>649.85760059999984</v>
      </c>
      <c r="U17" s="29">
        <f t="shared" ref="U17:V17" si="37">U14*30</f>
        <v>1106.5106208</v>
      </c>
      <c r="V17" s="30">
        <f t="shared" si="37"/>
        <v>619.15138739999998</v>
      </c>
      <c r="W17" s="29">
        <f t="shared" ref="W17:X17" si="38">W14*30</f>
        <v>1510.175043</v>
      </c>
      <c r="X17" s="44">
        <f t="shared" si="38"/>
        <v>1154.7438318</v>
      </c>
      <c r="Y17" s="29">
        <f t="shared" ref="Y17:AB17" si="39">Y14*30</f>
        <v>1796.5852086</v>
      </c>
      <c r="Z17" s="30">
        <f t="shared" si="39"/>
        <v>1134.8391405</v>
      </c>
      <c r="AA17" s="29">
        <f t="shared" si="39"/>
        <v>1522.6749174000001</v>
      </c>
      <c r="AB17" s="30">
        <f t="shared" si="39"/>
        <v>1307.4596885999999</v>
      </c>
      <c r="AC17" s="30">
        <f t="shared" ref="AC17:AD17" si="40">AC14*30</f>
        <v>428.25656639999994</v>
      </c>
      <c r="AD17" s="17">
        <f t="shared" si="40"/>
        <v>2424.1604244</v>
      </c>
      <c r="AE17" s="17">
        <f t="shared" ref="AE17" si="41">AE14*30</f>
        <v>2275.7923500000002</v>
      </c>
      <c r="AF17" s="29">
        <f t="shared" si="36"/>
        <v>5052.9383579999994</v>
      </c>
      <c r="AG17" s="30">
        <f t="shared" si="36"/>
        <v>3188.8266539999995</v>
      </c>
      <c r="AH17" s="17">
        <f t="shared" si="36"/>
        <v>3585.0183251999997</v>
      </c>
      <c r="AI17" s="7">
        <f t="shared" si="36"/>
        <v>0</v>
      </c>
      <c r="AJ17" s="7">
        <f t="shared" si="36"/>
        <v>0</v>
      </c>
      <c r="AK17" s="7">
        <f t="shared" si="36"/>
        <v>0</v>
      </c>
      <c r="AL17" s="7">
        <f t="shared" si="36"/>
        <v>0</v>
      </c>
      <c r="AM17" s="7">
        <f t="shared" si="36"/>
        <v>0</v>
      </c>
    </row>
    <row r="18" spans="1:39" s="8" customFormat="1">
      <c r="A18" s="8" t="s">
        <v>63</v>
      </c>
      <c r="B18" s="10">
        <f>B15*30</f>
        <v>-134.64000000000001</v>
      </c>
      <c r="C18" s="10">
        <f>C15*30</f>
        <v>-125.62109999999998</v>
      </c>
      <c r="D18" s="10"/>
      <c r="E18" s="10"/>
      <c r="F18" s="18">
        <f t="shared" ref="F18" si="42">F15*30</f>
        <v>-95.321100703235999</v>
      </c>
      <c r="G18" s="31">
        <f t="shared" ref="G18:H18" si="43">G15*30</f>
        <v>-374.09184959999999</v>
      </c>
      <c r="H18" s="32">
        <f t="shared" si="43"/>
        <v>-328.18655459999997</v>
      </c>
      <c r="I18" s="18">
        <f>I15*30</f>
        <v>-638.68620119999991</v>
      </c>
      <c r="J18" s="31">
        <f t="shared" ref="J18:L18" si="44">J15*30</f>
        <v>-83.474267999999995</v>
      </c>
      <c r="K18" s="45">
        <f t="shared" si="44"/>
        <v>-75.408738599999992</v>
      </c>
      <c r="L18" s="45">
        <f t="shared" si="44"/>
        <v>311.83256640000002</v>
      </c>
      <c r="M18" s="45">
        <f t="shared" ref="M18:N18" si="45">M15*30</f>
        <v>200.75997420000004</v>
      </c>
      <c r="N18" s="32">
        <f t="shared" si="45"/>
        <v>134.6479128</v>
      </c>
      <c r="O18" s="31">
        <f t="shared" ref="O18:P18" si="46">O15*30</f>
        <v>-69.126041400000005</v>
      </c>
      <c r="P18" s="32">
        <f t="shared" si="46"/>
        <v>-87.339209999999966</v>
      </c>
      <c r="Q18" s="31">
        <f>Q15*30</f>
        <v>454.58123940000002</v>
      </c>
      <c r="R18" s="32">
        <f>R15*30</f>
        <v>269.12725380000018</v>
      </c>
      <c r="S18" s="31">
        <f t="shared" ref="S18:AM18" si="47">S15*30</f>
        <v>757.63290000000018</v>
      </c>
      <c r="T18" s="32">
        <f t="shared" si="47"/>
        <v>360.57960059999988</v>
      </c>
      <c r="U18" s="31">
        <f t="shared" ref="U18:V18" si="48">U15*30</f>
        <v>568.64362079999989</v>
      </c>
      <c r="V18" s="32">
        <f t="shared" si="48"/>
        <v>235.42738739999999</v>
      </c>
      <c r="W18" s="31">
        <f>W15*30</f>
        <v>1147.092543</v>
      </c>
      <c r="X18" s="45">
        <f>X15*30</f>
        <v>804.99663179999993</v>
      </c>
      <c r="Y18" s="31">
        <f t="shared" ref="Y18:AB18" si="49">Y15*30</f>
        <v>1308.6340086</v>
      </c>
      <c r="Z18" s="32">
        <f t="shared" si="49"/>
        <v>762.51004049999995</v>
      </c>
      <c r="AA18" s="31">
        <f t="shared" si="49"/>
        <v>1035.4464174000002</v>
      </c>
      <c r="AB18" s="32">
        <f t="shared" si="49"/>
        <v>949.07968859999994</v>
      </c>
      <c r="AC18" s="32">
        <f t="shared" ref="AC18:AD18" si="50">AC15*30</f>
        <v>175.80656639999998</v>
      </c>
      <c r="AD18" s="18">
        <f t="shared" si="50"/>
        <v>1535.8334243999998</v>
      </c>
      <c r="AE18" s="18">
        <f t="shared" ref="AE18" si="51">AE15*30</f>
        <v>981.66435000000035</v>
      </c>
      <c r="AF18" s="31">
        <f t="shared" si="47"/>
        <v>3732.4763579999994</v>
      </c>
      <c r="AG18" s="32">
        <f t="shared" si="47"/>
        <v>2115.4191539999997</v>
      </c>
      <c r="AH18" s="18">
        <f t="shared" si="47"/>
        <v>2206.6413251999998</v>
      </c>
      <c r="AI18" s="10">
        <f t="shared" si="47"/>
        <v>0</v>
      </c>
      <c r="AJ18" s="10">
        <f t="shared" si="47"/>
        <v>0</v>
      </c>
      <c r="AK18" s="10">
        <f t="shared" si="47"/>
        <v>0</v>
      </c>
      <c r="AL18" s="10">
        <f t="shared" si="47"/>
        <v>0</v>
      </c>
      <c r="AM18" s="10">
        <f t="shared" si="47"/>
        <v>0</v>
      </c>
    </row>
    <row r="19" spans="1:39">
      <c r="B19" s="7"/>
      <c r="C19" s="7"/>
      <c r="D19" s="7"/>
      <c r="E19" s="7"/>
      <c r="F19" s="17"/>
      <c r="G19" s="29"/>
      <c r="H19" s="30"/>
      <c r="I19" s="17"/>
      <c r="J19" s="29"/>
      <c r="K19" s="44"/>
      <c r="L19" s="44"/>
      <c r="M19" s="44"/>
      <c r="N19" s="30"/>
      <c r="O19" s="29"/>
      <c r="P19" s="30"/>
      <c r="Q19" s="29"/>
      <c r="R19" s="30"/>
      <c r="S19" s="29"/>
      <c r="T19" s="30"/>
      <c r="U19" s="29"/>
      <c r="V19" s="30"/>
      <c r="W19" s="29"/>
      <c r="X19" s="44"/>
      <c r="Y19" s="29"/>
      <c r="Z19" s="30"/>
      <c r="AA19" s="29"/>
      <c r="AB19" s="30"/>
      <c r="AC19" s="30"/>
      <c r="AD19" s="17"/>
      <c r="AE19" s="17"/>
      <c r="AF19" s="29"/>
      <c r="AG19" s="30"/>
      <c r="AH19" s="17"/>
      <c r="AI19" s="7"/>
      <c r="AJ19" s="7"/>
      <c r="AK19" s="7"/>
      <c r="AL19" s="7"/>
      <c r="AM19" s="7"/>
    </row>
    <row r="20" spans="1:39">
      <c r="A20" t="s">
        <v>74</v>
      </c>
      <c r="B20" s="7"/>
      <c r="C20" s="7"/>
      <c r="D20" s="7"/>
      <c r="E20" s="7"/>
      <c r="F20" s="17">
        <v>2000</v>
      </c>
      <c r="G20" s="29">
        <v>2500</v>
      </c>
      <c r="H20" s="30">
        <v>2500</v>
      </c>
      <c r="I20" s="17">
        <v>2099</v>
      </c>
      <c r="J20" s="29">
        <v>2040</v>
      </c>
      <c r="K20" s="44">
        <v>2040</v>
      </c>
      <c r="L20" s="44">
        <v>2040</v>
      </c>
      <c r="M20" s="44">
        <v>2040</v>
      </c>
      <c r="N20" s="30">
        <v>2040</v>
      </c>
      <c r="O20" s="29">
        <v>2267</v>
      </c>
      <c r="P20" s="30">
        <v>2267</v>
      </c>
      <c r="Q20" s="29">
        <v>6548</v>
      </c>
      <c r="R20" s="30">
        <v>6548</v>
      </c>
      <c r="S20" s="29">
        <v>6031</v>
      </c>
      <c r="T20" s="30">
        <v>6031</v>
      </c>
      <c r="U20" s="29">
        <v>8769</v>
      </c>
      <c r="V20" s="30">
        <v>8769</v>
      </c>
      <c r="W20" s="29">
        <v>16370</v>
      </c>
      <c r="X20" s="44">
        <v>16370</v>
      </c>
      <c r="Y20" s="29">
        <v>16239</v>
      </c>
      <c r="Z20" s="30">
        <v>16239</v>
      </c>
      <c r="AA20" s="29">
        <v>15841</v>
      </c>
      <c r="AB20" s="29">
        <v>15841</v>
      </c>
      <c r="AC20" s="30">
        <v>2040</v>
      </c>
      <c r="AD20" s="17">
        <v>32211</v>
      </c>
      <c r="AE20" s="17">
        <v>30865</v>
      </c>
      <c r="AF20" s="29">
        <v>40980</v>
      </c>
      <c r="AG20" s="30">
        <v>40980</v>
      </c>
      <c r="AH20" s="17">
        <v>47528</v>
      </c>
      <c r="AI20" s="7">
        <v>6554</v>
      </c>
      <c r="AJ20" s="7">
        <v>6555</v>
      </c>
      <c r="AK20" s="7">
        <v>6556</v>
      </c>
      <c r="AL20" s="7">
        <v>6557</v>
      </c>
      <c r="AM20" s="7">
        <v>6558</v>
      </c>
    </row>
    <row r="21" spans="1:39" s="8" customFormat="1">
      <c r="A21" s="8" t="s">
        <v>75</v>
      </c>
      <c r="B21" s="11"/>
      <c r="C21" s="11"/>
      <c r="D21" s="11"/>
      <c r="E21" s="11"/>
      <c r="F21" s="19">
        <f t="shared" ref="F21" si="52">F20/F18</f>
        <v>-20.981713232903356</v>
      </c>
      <c r="G21" s="33">
        <f t="shared" ref="G21:K21" si="53">G20/G18</f>
        <v>-6.682850756233103</v>
      </c>
      <c r="H21" s="34">
        <f t="shared" si="53"/>
        <v>-7.6176185921054804</v>
      </c>
      <c r="I21" s="19">
        <f t="shared" si="53"/>
        <v>-3.2864339264826445</v>
      </c>
      <c r="J21" s="33">
        <f t="shared" si="53"/>
        <v>-24.43866893208336</v>
      </c>
      <c r="K21" s="46">
        <f t="shared" si="53"/>
        <v>-27.05256761846962</v>
      </c>
      <c r="L21" s="46">
        <f t="shared" ref="L21:N21" si="54">L20/L18</f>
        <v>6.541972262714892</v>
      </c>
      <c r="M21" s="46">
        <f t="shared" si="54"/>
        <v>10.161388036281187</v>
      </c>
      <c r="N21" s="34">
        <f t="shared" si="54"/>
        <v>15.15062474848849</v>
      </c>
      <c r="O21" s="33">
        <f t="shared" ref="O21:P21" si="55">O20/O18</f>
        <v>-32.795165961868605</v>
      </c>
      <c r="P21" s="34">
        <f t="shared" si="55"/>
        <v>-25.956268667875527</v>
      </c>
      <c r="Q21" s="33">
        <f>Q20/Q18</f>
        <v>14.404465984215889</v>
      </c>
      <c r="R21" s="34">
        <f>R20/R18</f>
        <v>24.330497590058624</v>
      </c>
      <c r="S21" s="33">
        <f t="shared" ref="S21:AM21" si="56">S20/S18</f>
        <v>7.9603195690155468</v>
      </c>
      <c r="T21" s="34">
        <f t="shared" si="56"/>
        <v>16.725849132797563</v>
      </c>
      <c r="U21" s="33">
        <f t="shared" ref="U21:V21" si="57">U20/U18</f>
        <v>15.420906309760895</v>
      </c>
      <c r="V21" s="34">
        <f t="shared" si="57"/>
        <v>37.247153344573029</v>
      </c>
      <c r="W21" s="33">
        <f t="shared" ref="W21:X21" si="58">W20/W18</f>
        <v>14.270862538420321</v>
      </c>
      <c r="X21" s="46">
        <f t="shared" si="58"/>
        <v>20.335488812414187</v>
      </c>
      <c r="Y21" s="33">
        <f t="shared" ref="Y21:AB21" si="59">Y20/Y18</f>
        <v>12.409122713670548</v>
      </c>
      <c r="Z21" s="34">
        <f t="shared" si="59"/>
        <v>21.296768747270026</v>
      </c>
      <c r="AA21" s="33">
        <f t="shared" si="59"/>
        <v>15.298715350019421</v>
      </c>
      <c r="AB21" s="34">
        <f t="shared" si="59"/>
        <v>16.690906138100235</v>
      </c>
      <c r="AC21" s="34">
        <f t="shared" si="56"/>
        <v>11.603662148537362</v>
      </c>
      <c r="AD21" s="19">
        <f t="shared" si="56"/>
        <v>20.972977595264794</v>
      </c>
      <c r="AE21" s="19">
        <f t="shared" si="56"/>
        <v>31.441500345815744</v>
      </c>
      <c r="AF21" s="33">
        <f t="shared" si="56"/>
        <v>10.979305980643536</v>
      </c>
      <c r="AG21" s="34">
        <f t="shared" si="56"/>
        <v>19.372047342254522</v>
      </c>
      <c r="AH21" s="19">
        <f>AH20/AH18</f>
        <v>21.538615930566912</v>
      </c>
      <c r="AI21" s="12" t="e">
        <f t="shared" si="56"/>
        <v>#DIV/0!</v>
      </c>
      <c r="AJ21" s="12" t="e">
        <f t="shared" si="56"/>
        <v>#DIV/0!</v>
      </c>
      <c r="AK21" s="12" t="e">
        <f t="shared" si="56"/>
        <v>#DIV/0!</v>
      </c>
      <c r="AL21" s="12" t="e">
        <f t="shared" si="56"/>
        <v>#DIV/0!</v>
      </c>
      <c r="AM21" s="12" t="e">
        <f t="shared" si="56"/>
        <v>#DIV/0!</v>
      </c>
    </row>
    <row r="22" spans="1:39">
      <c r="A22" t="s">
        <v>76</v>
      </c>
      <c r="B22" s="4"/>
      <c r="C22" s="4"/>
      <c r="D22" s="4"/>
      <c r="E22" s="4"/>
      <c r="F22" s="20">
        <f t="shared" ref="F22" si="60">F21/12</f>
        <v>-1.7484761027419464</v>
      </c>
      <c r="G22" s="35">
        <f t="shared" ref="G22:K22" si="61">G21/12</f>
        <v>-0.55690422968609188</v>
      </c>
      <c r="H22" s="36">
        <f t="shared" si="61"/>
        <v>-0.63480154934212341</v>
      </c>
      <c r="I22" s="20">
        <f t="shared" si="61"/>
        <v>-0.27386949387355369</v>
      </c>
      <c r="J22" s="35">
        <f t="shared" si="61"/>
        <v>-2.03655574434028</v>
      </c>
      <c r="K22" s="47">
        <f t="shared" si="61"/>
        <v>-2.2543806348724682</v>
      </c>
      <c r="L22" s="47">
        <f t="shared" ref="L22:N22" si="62">L21/12</f>
        <v>0.54516435522624096</v>
      </c>
      <c r="M22" s="47">
        <f t="shared" si="62"/>
        <v>0.84678233635676559</v>
      </c>
      <c r="N22" s="36">
        <f t="shared" si="62"/>
        <v>1.2625520623740407</v>
      </c>
      <c r="O22" s="35">
        <f t="shared" ref="O22:P22" si="63">O21/12</f>
        <v>-2.7329304968223838</v>
      </c>
      <c r="P22" s="36">
        <f t="shared" si="63"/>
        <v>-2.1630223889896274</v>
      </c>
      <c r="Q22" s="35">
        <f>Q21/12</f>
        <v>1.2003721653513242</v>
      </c>
      <c r="R22" s="36">
        <f>R21/12</f>
        <v>2.0275414658382185</v>
      </c>
      <c r="S22" s="35">
        <f t="shared" ref="S22:AM22" si="64">S21/12</f>
        <v>0.66335996408462894</v>
      </c>
      <c r="T22" s="36">
        <f t="shared" si="64"/>
        <v>1.3938207610664637</v>
      </c>
      <c r="U22" s="35">
        <f t="shared" ref="U22:V22" si="65">U21/12</f>
        <v>1.2850755258134079</v>
      </c>
      <c r="V22" s="36">
        <f t="shared" si="65"/>
        <v>3.1039294453810857</v>
      </c>
      <c r="W22" s="35">
        <f t="shared" ref="W22:X22" si="66">W21/12</f>
        <v>1.18923854486836</v>
      </c>
      <c r="X22" s="47">
        <f t="shared" si="66"/>
        <v>1.6946240677011823</v>
      </c>
      <c r="Y22" s="35">
        <f t="shared" ref="Y22:AB22" si="67">Y21/12</f>
        <v>1.0340935594725458</v>
      </c>
      <c r="Z22" s="36">
        <f t="shared" si="67"/>
        <v>1.7747307289391687</v>
      </c>
      <c r="AA22" s="35">
        <f t="shared" si="67"/>
        <v>1.2748929458349518</v>
      </c>
      <c r="AB22" s="36">
        <f t="shared" si="67"/>
        <v>1.3909088448416862</v>
      </c>
      <c r="AC22" s="36">
        <f t="shared" si="64"/>
        <v>0.96697184571144679</v>
      </c>
      <c r="AD22" s="20">
        <f t="shared" si="64"/>
        <v>1.7477481329387328</v>
      </c>
      <c r="AE22" s="20">
        <f t="shared" si="64"/>
        <v>2.6201250288179785</v>
      </c>
      <c r="AF22" s="35">
        <f t="shared" si="64"/>
        <v>0.91494216505362802</v>
      </c>
      <c r="AG22" s="36">
        <f t="shared" si="64"/>
        <v>1.6143372785212102</v>
      </c>
      <c r="AH22" s="20">
        <f t="shared" si="64"/>
        <v>1.794884660880576</v>
      </c>
      <c r="AI22" s="5" t="e">
        <f t="shared" si="64"/>
        <v>#DIV/0!</v>
      </c>
      <c r="AJ22" s="5" t="e">
        <f t="shared" si="64"/>
        <v>#DIV/0!</v>
      </c>
      <c r="AK22" s="5" t="e">
        <f t="shared" si="64"/>
        <v>#DIV/0!</v>
      </c>
      <c r="AL22" s="5" t="e">
        <f t="shared" si="64"/>
        <v>#DIV/0!</v>
      </c>
      <c r="AM22" s="5" t="e">
        <f t="shared" si="64"/>
        <v>#DIV/0!</v>
      </c>
    </row>
    <row r="23" spans="1:39">
      <c r="B23" s="4"/>
      <c r="C23" s="4"/>
      <c r="D23" s="4"/>
      <c r="E23" s="4"/>
      <c r="F23" s="21"/>
      <c r="G23" s="37"/>
      <c r="H23" s="38"/>
      <c r="I23" s="21"/>
      <c r="J23" s="37"/>
      <c r="K23" s="48"/>
      <c r="L23" s="48"/>
      <c r="M23" s="48"/>
      <c r="N23" s="26"/>
      <c r="O23" s="25"/>
      <c r="P23" s="26"/>
      <c r="Q23" s="37"/>
      <c r="R23" s="26"/>
      <c r="S23" s="25"/>
      <c r="T23" s="26"/>
      <c r="U23" s="25"/>
      <c r="V23" s="26"/>
      <c r="W23" s="25"/>
      <c r="X23" s="42"/>
      <c r="Y23" s="25"/>
      <c r="Z23" s="26"/>
      <c r="AA23" s="25"/>
      <c r="AB23" s="26"/>
      <c r="AC23" s="26"/>
      <c r="AD23" s="15"/>
      <c r="AE23" s="15"/>
      <c r="AF23" s="25"/>
      <c r="AG23" s="26"/>
      <c r="AH23" s="15"/>
    </row>
    <row r="24" spans="1:39">
      <c r="B24" s="4"/>
      <c r="C24" s="4"/>
      <c r="D24" s="4"/>
      <c r="E24" s="4"/>
      <c r="F24" s="21"/>
      <c r="G24" s="37"/>
      <c r="H24" s="38"/>
      <c r="I24" s="21"/>
      <c r="J24" s="37"/>
      <c r="K24" s="48"/>
      <c r="L24" s="48"/>
      <c r="M24" s="48"/>
      <c r="N24" s="26"/>
      <c r="O24" s="25"/>
      <c r="P24" s="26"/>
      <c r="Q24" s="37"/>
      <c r="R24" s="26"/>
      <c r="S24" s="25"/>
      <c r="T24" s="26"/>
      <c r="U24" s="25"/>
      <c r="V24" s="26"/>
      <c r="W24" s="25"/>
      <c r="X24" s="42"/>
      <c r="Y24" s="25"/>
      <c r="Z24" s="26"/>
      <c r="AA24" s="25"/>
      <c r="AB24" s="26"/>
      <c r="AC24" s="26"/>
      <c r="AD24" s="15"/>
      <c r="AE24" s="15"/>
      <c r="AF24" s="25"/>
      <c r="AG24" s="26"/>
      <c r="AH24" s="15"/>
    </row>
    <row r="25" spans="1:39">
      <c r="B25" s="4"/>
      <c r="C25" s="4"/>
      <c r="D25" s="4"/>
      <c r="E25" s="4"/>
      <c r="F25" s="21"/>
      <c r="G25" s="37"/>
      <c r="H25" s="38"/>
      <c r="I25" s="21"/>
      <c r="J25" s="37"/>
      <c r="K25" s="48"/>
      <c r="L25" s="48"/>
      <c r="M25" s="48"/>
      <c r="N25" s="26"/>
      <c r="O25" s="25"/>
      <c r="P25" s="26"/>
      <c r="Q25" s="37"/>
      <c r="R25" s="26"/>
      <c r="S25" s="25"/>
      <c r="T25" s="26"/>
      <c r="U25" s="25"/>
      <c r="V25" s="26"/>
      <c r="W25" s="25"/>
      <c r="X25" s="42"/>
      <c r="Y25" s="25"/>
      <c r="Z25" s="26"/>
      <c r="AA25" s="25"/>
      <c r="AB25" s="26"/>
      <c r="AC25" s="26"/>
      <c r="AD25" s="15"/>
      <c r="AE25" s="15"/>
      <c r="AF25" s="25"/>
      <c r="AG25" s="26"/>
      <c r="AH25" s="15"/>
    </row>
    <row r="26" spans="1:39">
      <c r="F26" s="15"/>
      <c r="G26" s="25"/>
      <c r="H26" s="26"/>
      <c r="I26" s="15"/>
      <c r="J26" s="25"/>
      <c r="K26" s="42"/>
      <c r="L26" s="42"/>
      <c r="M26" s="42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42"/>
      <c r="Y26" s="25"/>
      <c r="Z26" s="15"/>
      <c r="AA26" s="25"/>
      <c r="AB26" s="26"/>
      <c r="AC26" s="26"/>
      <c r="AD26" s="15"/>
      <c r="AE26" s="15"/>
      <c r="AF26" s="25"/>
      <c r="AG26" s="26"/>
      <c r="AH26" s="15"/>
    </row>
    <row r="27" spans="1:39">
      <c r="A27" t="s">
        <v>66</v>
      </c>
      <c r="F27" s="15"/>
      <c r="G27" s="25"/>
      <c r="H27" s="26"/>
      <c r="I27" s="15"/>
      <c r="J27" s="25"/>
      <c r="K27" s="42"/>
      <c r="L27" s="42"/>
      <c r="M27" s="42"/>
      <c r="N27" s="26"/>
      <c r="O27" s="25"/>
      <c r="P27" s="26"/>
      <c r="Q27" s="25"/>
      <c r="R27" s="26"/>
      <c r="S27" s="25"/>
      <c r="T27" s="26"/>
      <c r="U27" s="25"/>
      <c r="V27" s="26"/>
      <c r="W27" s="25"/>
      <c r="X27" s="42"/>
      <c r="Y27" s="25"/>
      <c r="Z27" s="26"/>
      <c r="AA27" s="25"/>
      <c r="AB27" s="26"/>
      <c r="AC27" s="26"/>
      <c r="AD27" s="15"/>
      <c r="AE27" s="15"/>
      <c r="AF27" s="25"/>
      <c r="AG27" s="26"/>
      <c r="AH27" s="15"/>
    </row>
    <row r="28" spans="1:39">
      <c r="F28" s="15"/>
      <c r="G28" s="25"/>
      <c r="H28" s="26"/>
      <c r="I28" s="15"/>
      <c r="J28" s="25"/>
      <c r="K28" s="42"/>
      <c r="L28" s="42"/>
      <c r="M28" s="42"/>
      <c r="N28" s="26"/>
      <c r="O28" s="25"/>
      <c r="P28" s="26"/>
      <c r="Q28" s="25"/>
      <c r="R28" s="26"/>
      <c r="S28" s="25"/>
      <c r="T28" s="26"/>
      <c r="U28" s="25"/>
      <c r="V28" s="26"/>
      <c r="W28" s="25"/>
      <c r="X28" s="42"/>
      <c r="Y28" s="25"/>
      <c r="Z28" s="26"/>
      <c r="AA28" s="25"/>
      <c r="AB28" s="26"/>
      <c r="AC28" s="26"/>
      <c r="AD28" s="15"/>
      <c r="AE28" s="15"/>
      <c r="AF28" s="25"/>
      <c r="AG28" s="26"/>
      <c r="AH28" s="15"/>
    </row>
    <row r="29" spans="1:39">
      <c r="A29" t="s">
        <v>68</v>
      </c>
      <c r="B29" t="s">
        <v>104</v>
      </c>
      <c r="C29" t="s">
        <v>146</v>
      </c>
      <c r="F29" s="15" t="s">
        <v>94</v>
      </c>
      <c r="G29" s="25" t="s">
        <v>103</v>
      </c>
      <c r="H29" s="26" t="s">
        <v>96</v>
      </c>
      <c r="I29" s="15" t="s">
        <v>70</v>
      </c>
      <c r="J29" s="25" t="s">
        <v>98</v>
      </c>
      <c r="K29" s="42" t="s">
        <v>99</v>
      </c>
      <c r="L29" s="42" t="s">
        <v>103</v>
      </c>
      <c r="M29" s="42" t="s">
        <v>101</v>
      </c>
      <c r="N29" s="26" t="s">
        <v>102</v>
      </c>
      <c r="O29" s="25" t="s">
        <v>111</v>
      </c>
      <c r="P29" s="26" t="s">
        <v>109</v>
      </c>
      <c r="Q29" s="25" t="s">
        <v>71</v>
      </c>
      <c r="R29" s="26" t="s">
        <v>78</v>
      </c>
      <c r="S29" s="25" t="s">
        <v>82</v>
      </c>
      <c r="T29" s="26" t="s">
        <v>84</v>
      </c>
      <c r="U29" s="25"/>
      <c r="V29" s="26" t="s">
        <v>132</v>
      </c>
      <c r="W29" s="25" t="s">
        <v>133</v>
      </c>
      <c r="X29" s="42" t="s">
        <v>134</v>
      </c>
      <c r="Y29" s="25" t="s">
        <v>141</v>
      </c>
      <c r="Z29" s="26" t="s">
        <v>142</v>
      </c>
      <c r="AA29" s="25" t="s">
        <v>149</v>
      </c>
      <c r="AB29" s="26" t="s">
        <v>150</v>
      </c>
      <c r="AC29" s="26" t="s">
        <v>113</v>
      </c>
      <c r="AD29" s="15" t="s">
        <v>115</v>
      </c>
      <c r="AE29" s="15" t="s">
        <v>117</v>
      </c>
      <c r="AF29" s="25" t="s">
        <v>125</v>
      </c>
      <c r="AG29" s="26" t="s">
        <v>106</v>
      </c>
      <c r="AH29" s="15" t="s">
        <v>105</v>
      </c>
    </row>
    <row r="30" spans="1:39">
      <c r="A30" t="s">
        <v>69</v>
      </c>
      <c r="B30">
        <v>0.11899999999999999</v>
      </c>
      <c r="C30">
        <v>0.14899999999999999</v>
      </c>
      <c r="F30" s="22">
        <v>8.3000000000000004E-2</v>
      </c>
      <c r="G30" s="39">
        <v>0.17299999999999999</v>
      </c>
      <c r="H30" s="40">
        <v>0.26900000000000002</v>
      </c>
      <c r="I30" s="22">
        <v>0.96899999999999997</v>
      </c>
      <c r="J30" s="39">
        <v>5.5E-2</v>
      </c>
      <c r="K30" s="49">
        <v>6.5000000000000002E-2</v>
      </c>
      <c r="L30" s="49">
        <v>4.9000000000000002E-2</v>
      </c>
      <c r="M30" s="49">
        <v>6.0999999999999999E-2</v>
      </c>
      <c r="N30" s="40">
        <v>5.2999999999999999E-2</v>
      </c>
      <c r="O30" s="39">
        <v>0.14899999999999999</v>
      </c>
      <c r="P30" s="40">
        <v>0.17</v>
      </c>
      <c r="Q30" s="39">
        <v>0.52400000000000002</v>
      </c>
      <c r="R30" s="40">
        <v>3.61E-2</v>
      </c>
      <c r="S30" s="39">
        <v>0.61699999999999999</v>
      </c>
      <c r="T30" s="40">
        <v>0.35099999999999998</v>
      </c>
      <c r="U30" s="39"/>
      <c r="V30" s="40">
        <v>0.35799999999999998</v>
      </c>
      <c r="W30" s="39">
        <v>0.16300000000000001</v>
      </c>
      <c r="X30" s="49">
        <v>0.184</v>
      </c>
      <c r="Y30" s="39">
        <v>0.71099999999999997</v>
      </c>
      <c r="Z30" s="40">
        <v>0.49299999999999999</v>
      </c>
      <c r="AA30" s="39">
        <v>0.54</v>
      </c>
      <c r="AB30" s="40">
        <v>0.54300000000000004</v>
      </c>
      <c r="AC30" s="40">
        <v>0.34</v>
      </c>
      <c r="AD30" s="22">
        <v>13.535</v>
      </c>
      <c r="AE30" s="22">
        <v>6.79</v>
      </c>
      <c r="AF30" s="39">
        <v>2.649</v>
      </c>
      <c r="AG30" s="40">
        <v>5.8730000000000002</v>
      </c>
      <c r="AH30" s="22">
        <v>10.220000000000001</v>
      </c>
    </row>
    <row r="33" spans="1:2">
      <c r="A33" t="s">
        <v>59</v>
      </c>
      <c r="B33">
        <v>452894</v>
      </c>
    </row>
    <row r="34" spans="1:2">
      <c r="A34" t="s">
        <v>62</v>
      </c>
      <c r="B34">
        <v>3.3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Вывод</vt:lpstr>
      <vt:lpstr>СвежиеДанные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Волшебник</dc:creator>
  <cp:lastModifiedBy>Волшебник</cp:lastModifiedBy>
  <dcterms:created xsi:type="dcterms:W3CDTF">2017-12-05T14:17:18Z</dcterms:created>
  <dcterms:modified xsi:type="dcterms:W3CDTF">2018-06-19T13:05:48Z</dcterms:modified>
</cp:coreProperties>
</file>